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DS\Dental\Sales\"/>
    </mc:Choice>
  </mc:AlternateContent>
  <xr:revisionPtr revIDLastSave="0" documentId="13_ncr:1_{995CB0CF-6862-46D7-9E95-69F946D35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2" r:id="rId1"/>
    <sheet name="Rates" sheetId="10" state="hidden" r:id="rId2"/>
    <sheet name="Summary" sheetId="3" state="hidden" r:id="rId3"/>
  </sheets>
  <definedNames>
    <definedName name="categories">Rates!$B$4:$B$16</definedName>
    <definedName name="Month1" localSheetId="1">Rates!#REF!</definedName>
    <definedName name="Month1">Summary!#REF!</definedName>
    <definedName name="NImethod" localSheetId="1">Rates!#REF!</definedName>
    <definedName name="NImethod">Summary!#REF!</definedName>
    <definedName name="payemethod" localSheetId="1">Rates!#REF!</definedName>
    <definedName name="payemethod">Summary!#REF!</definedName>
    <definedName name="pgloan" localSheetId="1">Rates!#REF!</definedName>
    <definedName name="pgloan">Summary!#REF!</definedName>
    <definedName name="pgplan" localSheetId="1">Rates!#REF!</definedName>
    <definedName name="pgplan">Summary!#REF!</definedName>
    <definedName name="plan" localSheetId="1">Rates!#REF!</definedName>
    <definedName name="plan">Summary!#REF!</definedName>
    <definedName name="Rates">Rates!$B$4:$J$16</definedName>
    <definedName name="SLplan" localSheetId="1">Rates!#REF!</definedName>
    <definedName name="SLplan">Summary!#REF!</definedName>
    <definedName name="Type">Rates!$B$4:$J$4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" l="1"/>
  <c r="D9" i="3" s="1"/>
  <c r="E20" i="3" s="1"/>
  <c r="C19" i="12"/>
  <c r="D19" i="12" s="1"/>
  <c r="C18" i="12"/>
  <c r="D18" i="12" s="1"/>
  <c r="I16" i="12"/>
  <c r="I17" i="12" s="1"/>
  <c r="C17" i="12"/>
  <c r="D17" i="12" s="1"/>
  <c r="C16" i="12"/>
  <c r="D16" i="12" s="1"/>
  <c r="C15" i="12"/>
  <c r="D15" i="12" s="1"/>
  <c r="C14" i="12"/>
  <c r="D14" i="12" s="1"/>
  <c r="D27" i="3"/>
  <c r="X27" i="3" s="1"/>
  <c r="D26" i="3"/>
  <c r="W26" i="3" s="1"/>
  <c r="D25" i="3"/>
  <c r="G25" i="3" s="1"/>
  <c r="D24" i="3"/>
  <c r="G24" i="3" s="1"/>
  <c r="D23" i="3"/>
  <c r="H23" i="3" s="1"/>
  <c r="D22" i="3"/>
  <c r="X22" i="3" s="1"/>
  <c r="D21" i="3"/>
  <c r="I21" i="3" s="1"/>
  <c r="D20" i="3"/>
  <c r="I20" i="3" s="1"/>
  <c r="D19" i="3"/>
  <c r="W19" i="3" s="1"/>
  <c r="D18" i="3"/>
  <c r="W18" i="3" s="1"/>
  <c r="D17" i="3"/>
  <c r="X17" i="3" s="1"/>
  <c r="D16" i="3"/>
  <c r="K16" i="3" s="1"/>
  <c r="E21" i="3" l="1"/>
  <c r="E22" i="3"/>
  <c r="E23" i="3"/>
  <c r="E16" i="3"/>
  <c r="E24" i="3"/>
  <c r="E25" i="3"/>
  <c r="E17" i="3"/>
  <c r="E18" i="3"/>
  <c r="E26" i="3"/>
  <c r="E19" i="3"/>
  <c r="E27" i="3"/>
  <c r="G16" i="3"/>
  <c r="M16" i="3" s="1"/>
  <c r="G17" i="3"/>
  <c r="G18" i="3"/>
  <c r="G27" i="3"/>
  <c r="H18" i="3"/>
  <c r="J23" i="3"/>
  <c r="H27" i="3"/>
  <c r="H17" i="3"/>
  <c r="I22" i="3"/>
  <c r="W22" i="3"/>
  <c r="J20" i="3"/>
  <c r="K20" i="3"/>
  <c r="X18" i="3"/>
  <c r="G19" i="3"/>
  <c r="W20" i="3"/>
  <c r="W21" i="3"/>
  <c r="H21" i="3"/>
  <c r="G21" i="3"/>
  <c r="H24" i="3"/>
  <c r="X20" i="3"/>
  <c r="G22" i="3"/>
  <c r="H25" i="3"/>
  <c r="X21" i="3"/>
  <c r="H19" i="3"/>
  <c r="H20" i="3"/>
  <c r="G20" i="3"/>
  <c r="H22" i="3"/>
  <c r="X19" i="3"/>
  <c r="G26" i="3"/>
  <c r="H26" i="3"/>
  <c r="I23" i="3"/>
  <c r="X26" i="3"/>
  <c r="J19" i="3"/>
  <c r="H16" i="3"/>
  <c r="I24" i="3"/>
  <c r="K19" i="3"/>
  <c r="I25" i="3"/>
  <c r="W23" i="3"/>
  <c r="J18" i="3"/>
  <c r="I16" i="3"/>
  <c r="I26" i="3"/>
  <c r="W24" i="3"/>
  <c r="K18" i="3"/>
  <c r="I17" i="3"/>
  <c r="I27" i="3"/>
  <c r="W25" i="3"/>
  <c r="X23" i="3"/>
  <c r="J22" i="3"/>
  <c r="J17" i="3"/>
  <c r="I18" i="3"/>
  <c r="W16" i="3"/>
  <c r="Z16" i="3" s="1"/>
  <c r="AA16" i="3" s="1"/>
  <c r="X24" i="3"/>
  <c r="K22" i="3"/>
  <c r="K17" i="3"/>
  <c r="G23" i="3"/>
  <c r="I19" i="3"/>
  <c r="W17" i="3"/>
  <c r="W27" i="3"/>
  <c r="X25" i="3"/>
  <c r="J24" i="3"/>
  <c r="J21" i="3"/>
  <c r="J16" i="3"/>
  <c r="X16" i="3"/>
  <c r="K27" i="3"/>
  <c r="K21" i="3"/>
  <c r="J25" i="3"/>
  <c r="J26" i="3"/>
  <c r="J27" i="3"/>
  <c r="K23" i="3"/>
  <c r="K24" i="3"/>
  <c r="K25" i="3"/>
  <c r="K26" i="3"/>
  <c r="AC16" i="3" l="1"/>
  <c r="N16" i="3"/>
  <c r="O16" i="3" s="1"/>
  <c r="R16" i="3" s="1"/>
  <c r="I28" i="3"/>
  <c r="H28" i="3"/>
  <c r="G28" i="3"/>
  <c r="P16" i="3" l="1"/>
  <c r="S16" i="3" s="1"/>
  <c r="U16" i="3" s="1"/>
  <c r="Z17" i="3"/>
  <c r="AA17" i="3" s="1"/>
  <c r="AC17" i="3" s="1"/>
  <c r="Z25" i="3"/>
  <c r="AA25" i="3" s="1"/>
  <c r="AC25" i="3" s="1"/>
  <c r="Z18" i="3"/>
  <c r="AA18" i="3" s="1"/>
  <c r="AC18" i="3" s="1"/>
  <c r="Z26" i="3"/>
  <c r="AA26" i="3" s="1"/>
  <c r="AC26" i="3" s="1"/>
  <c r="Z19" i="3"/>
  <c r="AA19" i="3" s="1"/>
  <c r="AC19" i="3" s="1"/>
  <c r="Z27" i="3"/>
  <c r="AA27" i="3" s="1"/>
  <c r="AC27" i="3" s="1"/>
  <c r="M20" i="3"/>
  <c r="N20" i="3" s="1"/>
  <c r="O20" i="3" s="1"/>
  <c r="R20" i="3" s="1"/>
  <c r="Z20" i="3"/>
  <c r="AA20" i="3" s="1"/>
  <c r="AC20" i="3" s="1"/>
  <c r="Z21" i="3"/>
  <c r="AA21" i="3" s="1"/>
  <c r="AC21" i="3" s="1"/>
  <c r="Z22" i="3"/>
  <c r="AA22" i="3" s="1"/>
  <c r="AC22" i="3" s="1"/>
  <c r="Z23" i="3"/>
  <c r="AA23" i="3" s="1"/>
  <c r="AC23" i="3" s="1"/>
  <c r="Z24" i="3"/>
  <c r="AA24" i="3" s="1"/>
  <c r="AC24" i="3" s="1"/>
  <c r="M21" i="3"/>
  <c r="M22" i="3"/>
  <c r="M23" i="3"/>
  <c r="M24" i="3"/>
  <c r="M17" i="3"/>
  <c r="M25" i="3"/>
  <c r="M18" i="3"/>
  <c r="M26" i="3"/>
  <c r="M19" i="3"/>
  <c r="M27" i="3"/>
  <c r="AC28" i="3" l="1"/>
  <c r="I18" i="12" s="1"/>
  <c r="I23" i="12" s="1"/>
  <c r="I24" i="12" s="1"/>
  <c r="I25" i="12" s="1"/>
  <c r="N19" i="3"/>
  <c r="O19" i="3" s="1"/>
  <c r="R19" i="3" s="1"/>
  <c r="N25" i="3"/>
  <c r="N27" i="3"/>
  <c r="N24" i="3"/>
  <c r="O24" i="3" s="1"/>
  <c r="R24" i="3" s="1"/>
  <c r="N23" i="3"/>
  <c r="O23" i="3" s="1"/>
  <c r="R23" i="3" s="1"/>
  <c r="N22" i="3"/>
  <c r="O22" i="3" s="1"/>
  <c r="R22" i="3" s="1"/>
  <c r="N26" i="3"/>
  <c r="N21" i="3"/>
  <c r="O21" i="3" s="1"/>
  <c r="R21" i="3" s="1"/>
  <c r="P20" i="3"/>
  <c r="S20" i="3" s="1"/>
  <c r="N17" i="3"/>
  <c r="O17" i="3" s="1"/>
  <c r="R17" i="3" s="1"/>
  <c r="N18" i="3"/>
  <c r="E15" i="12" l="1"/>
  <c r="E18" i="12"/>
  <c r="E14" i="12"/>
  <c r="E16" i="12"/>
  <c r="E17" i="12"/>
  <c r="E19" i="12"/>
  <c r="P23" i="3"/>
  <c r="S23" i="3" s="1"/>
  <c r="P17" i="3"/>
  <c r="S17" i="3" s="1"/>
  <c r="O26" i="3"/>
  <c r="R26" i="3" s="1"/>
  <c r="P22" i="3"/>
  <c r="S22" i="3" s="1"/>
  <c r="P24" i="3"/>
  <c r="S24" i="3" s="1"/>
  <c r="O25" i="3"/>
  <c r="R25" i="3" s="1"/>
  <c r="P21" i="3"/>
  <c r="S21" i="3" s="1"/>
  <c r="P19" i="3"/>
  <c r="S19" i="3" s="1"/>
  <c r="O27" i="3"/>
  <c r="R27" i="3" s="1"/>
  <c r="O18" i="3"/>
  <c r="R18" i="3" s="1"/>
  <c r="E28" i="3"/>
  <c r="P26" i="3" l="1"/>
  <c r="S26" i="3" s="1"/>
  <c r="P25" i="3"/>
  <c r="S25" i="3" s="1"/>
  <c r="P18" i="3"/>
  <c r="S18" i="3" s="1"/>
  <c r="P27" i="3"/>
  <c r="S27" i="3" s="1"/>
  <c r="U19" i="3"/>
  <c r="AE19" i="3" s="1"/>
  <c r="U17" i="3"/>
  <c r="AE17" i="3" s="1"/>
  <c r="U20" i="3"/>
  <c r="U27" i="3" l="1"/>
  <c r="AE27" i="3" s="1"/>
  <c r="U25" i="3"/>
  <c r="AE25" i="3" s="1"/>
  <c r="U26" i="3"/>
  <c r="AE26" i="3" s="1"/>
  <c r="AE20" i="3"/>
  <c r="R28" i="3"/>
  <c r="U18" i="3"/>
  <c r="AE18" i="3" s="1"/>
  <c r="Z28" i="3"/>
  <c r="U21" i="3"/>
  <c r="AE21" i="3" s="1"/>
  <c r="U23" i="3"/>
  <c r="AE23" i="3" s="1"/>
  <c r="U24" i="3"/>
  <c r="AE24" i="3" s="1"/>
  <c r="U22" i="3"/>
  <c r="AE22" i="3" s="1"/>
  <c r="P28" i="3"/>
  <c r="N28" i="3"/>
  <c r="O28" i="3"/>
  <c r="M28" i="3"/>
  <c r="AA28" i="3" l="1"/>
  <c r="S28" i="3"/>
  <c r="U28" i="3" l="1"/>
  <c r="AE16" i="3"/>
  <c r="AE28" i="3" s="1"/>
</calcChain>
</file>

<file path=xl/sharedStrings.xml><?xml version="1.0" encoding="utf-8"?>
<sst xmlns="http://schemas.openxmlformats.org/spreadsheetml/2006/main" count="103" uniqueCount="85">
  <si>
    <t>PT &lt; x &lt; UEL</t>
  </si>
  <si>
    <t>UEL &lt; x</t>
  </si>
  <si>
    <t>Total</t>
  </si>
  <si>
    <t>Month</t>
  </si>
  <si>
    <t>x &lt; LEL</t>
  </si>
  <si>
    <t>LEL &lt; x &lt; PT</t>
  </si>
  <si>
    <t>LEL</t>
  </si>
  <si>
    <t>UEL</t>
  </si>
  <si>
    <t>Income split across bands</t>
  </si>
  <si>
    <t>ST &lt; x</t>
  </si>
  <si>
    <t>x &lt; ST</t>
  </si>
  <si>
    <t>Employee NI</t>
  </si>
  <si>
    <t>Employer NI</t>
  </si>
  <si>
    <t>Gross (NI)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</si>
  <si>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</si>
  <si>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</si>
  <si>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</si>
  <si>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</si>
  <si>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</si>
  <si>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</si>
  <si>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</si>
  <si>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</si>
  <si>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</si>
  <si>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</si>
  <si>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</si>
  <si>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</si>
  <si>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NI category</t>
  </si>
  <si>
    <t>A</t>
  </si>
  <si>
    <t>PT</t>
  </si>
  <si>
    <t>Income across NI bands</t>
  </si>
  <si>
    <t>Applicable NI Thresholds and Rates</t>
  </si>
  <si>
    <t>NI threshold and rate</t>
  </si>
  <si>
    <t>Gross income</t>
  </si>
  <si>
    <t>NI Charge</t>
  </si>
  <si>
    <t>B</t>
  </si>
  <si>
    <t>C</t>
  </si>
  <si>
    <t>F</t>
  </si>
  <si>
    <t>H</t>
  </si>
  <si>
    <t>I</t>
  </si>
  <si>
    <t>J</t>
  </si>
  <si>
    <t>L</t>
  </si>
  <si>
    <t>M</t>
  </si>
  <si>
    <t>S</t>
  </si>
  <si>
    <t>V</t>
  </si>
  <si>
    <t>Z</t>
  </si>
  <si>
    <t>Monthly gross</t>
  </si>
  <si>
    <t>Total NI</t>
  </si>
  <si>
    <t>From 6 April 2023 to 5 November 2024</t>
  </si>
  <si>
    <t>ST</t>
  </si>
  <si>
    <t>ST Rate</t>
  </si>
  <si>
    <t>National Insurance calculator</t>
  </si>
  <si>
    <t>Monthly income</t>
  </si>
  <si>
    <t>Annual salary of person downloading orders</t>
  </si>
  <si>
    <t>Average Volume of Orders/day</t>
  </si>
  <si>
    <t xml:space="preserve">Hrs saved/day </t>
  </si>
  <si>
    <t>Hrs saved/month</t>
  </si>
  <si>
    <t>Area</t>
  </si>
  <si>
    <t>Item</t>
  </si>
  <si>
    <t>Cost</t>
  </si>
  <si>
    <t>Overheads</t>
  </si>
  <si>
    <t>All Utilities</t>
  </si>
  <si>
    <t>Software</t>
  </si>
  <si>
    <t>including IT support</t>
  </si>
  <si>
    <t>Salary</t>
  </si>
  <si>
    <t>Pension</t>
  </si>
  <si>
    <t>Employers NIC</t>
  </si>
  <si>
    <t>Expenses</t>
  </si>
  <si>
    <t>Annual Bonus</t>
  </si>
  <si>
    <t>Company Vehicle</t>
  </si>
  <si>
    <t>Medical Benefits</t>
  </si>
  <si>
    <t>yearly gross</t>
  </si>
  <si>
    <t>Order Download Automation Benefit Calculator</t>
  </si>
  <si>
    <t>True cost of staff calculator</t>
  </si>
  <si>
    <t>Time to process each order (minutes)</t>
  </si>
  <si>
    <t>HERE</t>
  </si>
  <si>
    <t xml:space="preserve">See online examples of how to work out true cost of employee </t>
  </si>
  <si>
    <t>Yearly Cost Saving</t>
  </si>
  <si>
    <t>Instructions:</t>
  </si>
  <si>
    <t>Only change BLUE cells</t>
  </si>
  <si>
    <t>Enter salary in C9 then update any figures required in the cost of staff calculator</t>
  </si>
  <si>
    <t xml:space="preserve">Green cells showing savings use the true hourly cost of an employee </t>
  </si>
  <si>
    <t>Average Volume of orders per day is in Itero + CsConnect</t>
  </si>
  <si>
    <t>True yearly cost of employee</t>
  </si>
  <si>
    <t>Monthly cost</t>
  </si>
  <si>
    <t>Hourly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</si>
</sst>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£&quot;#,##0"/>
    <numFmt numFmtId="166" formatCode="0.0"/>
    <numFmt numFmtId="167" formatCode="_-&quot;£&quot;* #,##0.0_-;\-&quot;£&quot;* #,##0.0_-;_-&quot;£&quot;* &quot;-&quot;?_-;_-@_-"/>
  </numFmts>
  <fonts count="3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20FFF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26"/>
      <color rgb="FF000000"/>
      <name val="Inter"/>
    </font>
    <font>
      <sz val="10"/>
      <color theme="1"/>
      <name val="Inter"/>
    </font>
    <font>
      <sz val="10"/>
      <color rgb="FF020FFF"/>
      <name val="Inter"/>
    </font>
    <font>
      <b/>
      <sz val="10"/>
      <color theme="1"/>
      <name val="Inter"/>
    </font>
    <font>
      <sz val="10"/>
      <color theme="0"/>
      <name val="Inter"/>
    </font>
    <font>
      <sz val="10"/>
      <color rgb="FF00B050"/>
      <name val="Inter"/>
    </font>
    <font>
      <sz val="12"/>
      <color theme="0"/>
      <name val="Calibri"/>
      <family val="2"/>
    </font>
    <font>
      <sz val="20"/>
      <color theme="1"/>
      <name val="Aptos Black"/>
      <family val="2"/>
    </font>
    <font>
      <b/>
      <sz val="14"/>
      <color theme="1"/>
      <name val="Inter"/>
    </font>
    <font>
      <sz val="14"/>
      <color theme="1"/>
      <name val="Calibri"/>
      <family val="2"/>
      <scheme val="minor"/>
    </font>
    <font>
      <b/>
      <i/>
      <u/>
      <sz val="12"/>
      <color rgb="FF020FFF"/>
      <name val="Calibri"/>
      <family val="2"/>
      <scheme val="minor"/>
    </font>
    <font>
      <b/>
      <sz val="12"/>
      <color theme="1"/>
      <name val="Inte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4E0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6363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16" fillId="0" borderId="10" xfId="0" applyFont="1" applyBorder="1" applyAlignment="1">
      <alignment horizontal="centerContinuous"/>
    </xf>
    <xf numFmtId="9" fontId="18" fillId="0" borderId="0" xfId="0" applyNumberFormat="1" applyFont="1" applyAlignment="1">
      <alignment horizontal="right"/>
    </xf>
    <xf numFmtId="10" fontId="18" fillId="0" borderId="0" xfId="0" applyNumberFormat="1" applyFont="1" applyAlignment="1">
      <alignment horizontal="right"/>
    </xf>
    <xf numFmtId="0" fontId="19" fillId="0" borderId="0" xfId="0" applyFont="1"/>
    <xf numFmtId="3" fontId="18" fillId="0" borderId="0" xfId="0" applyNumberFormat="1" applyFont="1" applyAlignment="1">
      <alignment horizontal="right"/>
    </xf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centerContinuous"/>
    </xf>
    <xf numFmtId="0" fontId="21" fillId="34" borderId="0" xfId="0" applyFont="1" applyFill="1" applyAlignment="1">
      <alignment horizontal="left" vertical="center"/>
    </xf>
    <xf numFmtId="0" fontId="21" fillId="34" borderId="0" xfId="0" applyFont="1" applyFill="1" applyAlignment="1">
      <alignment vertical="center"/>
    </xf>
    <xf numFmtId="0" fontId="21" fillId="35" borderId="0" xfId="0" applyFont="1" applyFill="1" applyAlignment="1">
      <alignment vertical="center"/>
    </xf>
    <xf numFmtId="0" fontId="21" fillId="35" borderId="0" xfId="0" applyFont="1" applyFill="1" applyAlignment="1">
      <alignment horizontal="left" vertical="center"/>
    </xf>
    <xf numFmtId="0" fontId="22" fillId="35" borderId="0" xfId="0" applyFont="1" applyFill="1" applyAlignment="1">
      <alignment vertical="center"/>
    </xf>
    <xf numFmtId="0" fontId="22" fillId="35" borderId="0" xfId="0" applyFont="1" applyFill="1" applyAlignment="1">
      <alignment horizontal="right" vertical="center"/>
    </xf>
    <xf numFmtId="0" fontId="23" fillId="35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24" fillId="34" borderId="0" xfId="0" applyFont="1" applyFill="1" applyAlignment="1">
      <alignment vertical="center"/>
    </xf>
    <xf numFmtId="0" fontId="24" fillId="34" borderId="0" xfId="0" applyFont="1" applyFill="1" applyAlignment="1">
      <alignment horizontal="center" vertical="center"/>
    </xf>
    <xf numFmtId="0" fontId="24" fillId="34" borderId="0" xfId="0" applyFont="1" applyFill="1" applyAlignment="1">
      <alignment horizontal="right" vertical="center"/>
    </xf>
    <xf numFmtId="0" fontId="0" fillId="35" borderId="0" xfId="0" applyFill="1" applyAlignment="1">
      <alignment vertical="center"/>
    </xf>
    <xf numFmtId="0" fontId="24" fillId="35" borderId="0" xfId="0" applyFont="1" applyFill="1" applyAlignment="1">
      <alignment vertical="center"/>
    </xf>
    <xf numFmtId="0" fontId="24" fillId="35" borderId="0" xfId="0" applyFont="1" applyFill="1" applyAlignment="1">
      <alignment horizontal="center" vertical="center"/>
    </xf>
    <xf numFmtId="0" fontId="24" fillId="35" borderId="0" xfId="0" applyFont="1" applyFill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Continuous" vertical="center"/>
    </xf>
    <xf numFmtId="0" fontId="26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Continuous" vertical="center"/>
    </xf>
    <xf numFmtId="0" fontId="24" fillId="0" borderId="10" xfId="0" applyFont="1" applyBorder="1" applyAlignment="1">
      <alignment horizontal="centerContinuous" vertical="center"/>
    </xf>
    <xf numFmtId="0" fontId="27" fillId="0" borderId="10" xfId="0" applyFont="1" applyBorder="1" applyAlignment="1">
      <alignment horizontal="centerContinuous" vertical="center"/>
    </xf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right" vertical="center"/>
    </xf>
    <xf numFmtId="0" fontId="24" fillId="0" borderId="10" xfId="0" applyFont="1" applyBorder="1" applyAlignment="1">
      <alignment horizontal="right" vertical="center" wrapText="1"/>
    </xf>
    <xf numFmtId="0" fontId="26" fillId="0" borderId="10" xfId="0" applyFont="1" applyBorder="1" applyAlignment="1">
      <alignment horizontal="right" vertical="center"/>
    </xf>
    <xf numFmtId="4" fontId="24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10" fontId="28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4" fontId="24" fillId="33" borderId="0" xfId="0" applyNumberFormat="1" applyFont="1" applyFill="1" applyAlignment="1">
      <alignment vertical="center"/>
    </xf>
    <xf numFmtId="164" fontId="28" fillId="0" borderId="0" xfId="43" applyNumberFormat="1" applyFont="1" applyAlignment="1">
      <alignment horizontal="right" vertical="center"/>
    </xf>
    <xf numFmtId="4" fontId="24" fillId="33" borderId="0" xfId="0" applyNumberFormat="1" applyFont="1" applyFill="1" applyAlignment="1">
      <alignment horizontal="right" vertical="center"/>
    </xf>
    <xf numFmtId="0" fontId="24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4" fontId="24" fillId="0" borderId="11" xfId="0" applyNumberFormat="1" applyFont="1" applyBorder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4" fontId="26" fillId="0" borderId="11" xfId="0" applyNumberFormat="1" applyFont="1" applyBorder="1" applyAlignment="1">
      <alignment horizontal="right" vertical="center"/>
    </xf>
    <xf numFmtId="0" fontId="19" fillId="34" borderId="0" xfId="0" applyFont="1" applyFill="1" applyAlignment="1">
      <alignment vertical="center"/>
    </xf>
    <xf numFmtId="0" fontId="19" fillId="35" borderId="0" xfId="0" applyFont="1" applyFill="1" applyAlignment="1">
      <alignment vertical="center"/>
    </xf>
    <xf numFmtId="0" fontId="28" fillId="0" borderId="0" xfId="0" quotePrefix="1" applyFont="1" applyAlignment="1">
      <alignment vertical="center"/>
    </xf>
    <xf numFmtId="0" fontId="28" fillId="0" borderId="0" xfId="0" quotePrefix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0" fillId="34" borderId="0" xfId="0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13" xfId="0" applyFont="1" applyBorder="1" applyAlignment="1">
      <alignment horizontal="right" vertical="center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vertical="center"/>
    </xf>
    <xf numFmtId="0" fontId="21" fillId="36" borderId="0" xfId="0" applyFont="1" applyFill="1" applyAlignment="1">
      <alignment vertical="center"/>
    </xf>
    <xf numFmtId="0" fontId="21" fillId="36" borderId="0" xfId="0" applyFont="1" applyFill="1" applyAlignment="1">
      <alignment horizontal="left" vertical="center"/>
    </xf>
    <xf numFmtId="0" fontId="29" fillId="36" borderId="0" xfId="0" applyFont="1" applyFill="1" applyAlignment="1">
      <alignment vertical="center"/>
    </xf>
    <xf numFmtId="4" fontId="25" fillId="37" borderId="12" xfId="0" applyNumberFormat="1" applyFont="1" applyFill="1" applyBorder="1" applyAlignment="1">
      <alignment horizontal="center" vertical="center"/>
    </xf>
    <xf numFmtId="0" fontId="24" fillId="35" borderId="0" xfId="0" applyFont="1" applyFill="1" applyAlignment="1">
      <alignment horizontal="center"/>
    </xf>
    <xf numFmtId="0" fontId="24" fillId="35" borderId="0" xfId="0" applyFont="1" applyFill="1" applyAlignment="1" applyProtection="1">
      <alignment vertical="center"/>
      <protection locked="0"/>
    </xf>
    <xf numFmtId="0" fontId="26" fillId="38" borderId="12" xfId="0" applyFont="1" applyFill="1" applyBorder="1" applyAlignment="1" applyProtection="1">
      <alignment vertical="center"/>
      <protection locked="0"/>
    </xf>
    <xf numFmtId="166" fontId="24" fillId="35" borderId="12" xfId="0" applyNumberFormat="1" applyFont="1" applyFill="1" applyBorder="1" applyAlignment="1">
      <alignment horizontal="center" vertical="center"/>
    </xf>
    <xf numFmtId="167" fontId="24" fillId="39" borderId="12" xfId="0" applyNumberFormat="1" applyFont="1" applyFill="1" applyBorder="1" applyAlignment="1">
      <alignment horizontal="center" vertical="center"/>
    </xf>
    <xf numFmtId="0" fontId="24" fillId="38" borderId="12" xfId="0" applyFont="1" applyFill="1" applyBorder="1" applyAlignment="1">
      <alignment horizontal="center" vertical="center"/>
    </xf>
    <xf numFmtId="0" fontId="34" fillId="38" borderId="12" xfId="0" applyFont="1" applyFill="1" applyBorder="1" applyAlignment="1">
      <alignment horizontal="center" vertical="center"/>
    </xf>
    <xf numFmtId="0" fontId="24" fillId="35" borderId="12" xfId="0" applyFont="1" applyFill="1" applyBorder="1" applyAlignment="1">
      <alignment horizontal="center" vertical="center"/>
    </xf>
    <xf numFmtId="0" fontId="24" fillId="40" borderId="12" xfId="0" applyFont="1" applyFill="1" applyBorder="1" applyAlignment="1" applyProtection="1">
      <alignment vertical="center"/>
      <protection locked="0"/>
    </xf>
    <xf numFmtId="165" fontId="26" fillId="40" borderId="12" xfId="0" applyNumberFormat="1" applyFont="1" applyFill="1" applyBorder="1" applyAlignment="1" applyProtection="1">
      <alignment vertical="center"/>
      <protection locked="0"/>
    </xf>
    <xf numFmtId="0" fontId="0" fillId="34" borderId="0" xfId="0" applyFill="1" applyAlignment="1" applyProtection="1">
      <alignment vertical="center"/>
      <protection locked="0"/>
    </xf>
    <xf numFmtId="0" fontId="33" fillId="35" borderId="0" xfId="42" applyFont="1" applyFill="1" applyAlignment="1" applyProtection="1">
      <alignment vertical="center"/>
      <protection locked="0"/>
    </xf>
    <xf numFmtId="0" fontId="24" fillId="40" borderId="12" xfId="0" applyFont="1" applyFill="1" applyBorder="1" applyAlignment="1" applyProtection="1">
      <alignment horizontal="left" vertical="center"/>
      <protection locked="0"/>
    </xf>
    <xf numFmtId="165" fontId="24" fillId="40" borderId="12" xfId="0" applyNumberFormat="1" applyFont="1" applyFill="1" applyBorder="1" applyAlignment="1" applyProtection="1">
      <alignment vertical="center"/>
      <protection locked="0"/>
    </xf>
    <xf numFmtId="0" fontId="26" fillId="35" borderId="0" xfId="0" applyFont="1" applyFill="1" applyAlignment="1">
      <alignment vertical="center"/>
    </xf>
    <xf numFmtId="0" fontId="26" fillId="38" borderId="12" xfId="0" applyFont="1" applyFill="1" applyBorder="1" applyAlignment="1">
      <alignment vertical="center"/>
    </xf>
    <xf numFmtId="0" fontId="24" fillId="35" borderId="12" xfId="0" applyFont="1" applyFill="1" applyBorder="1" applyAlignment="1">
      <alignment vertical="center"/>
    </xf>
    <xf numFmtId="0" fontId="26" fillId="35" borderId="12" xfId="0" applyFont="1" applyFill="1" applyBorder="1" applyAlignment="1">
      <alignment vertical="center"/>
    </xf>
    <xf numFmtId="165" fontId="24" fillId="35" borderId="12" xfId="0" applyNumberFormat="1" applyFont="1" applyFill="1" applyBorder="1" applyAlignment="1">
      <alignment vertical="center"/>
    </xf>
    <xf numFmtId="0" fontId="24" fillId="35" borderId="12" xfId="0" applyFont="1" applyFill="1" applyBorder="1" applyAlignment="1">
      <alignment horizontal="left" vertical="center"/>
    </xf>
    <xf numFmtId="0" fontId="30" fillId="35" borderId="0" xfId="0" applyFont="1" applyFill="1" applyAlignment="1">
      <alignment vertical="center"/>
    </xf>
    <xf numFmtId="165" fontId="26" fillId="35" borderId="12" xfId="0" applyNumberFormat="1" applyFont="1" applyFill="1" applyBorder="1" applyAlignment="1">
      <alignment vertical="center"/>
    </xf>
    <xf numFmtId="0" fontId="31" fillId="35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24" fillId="40" borderId="12" xfId="0" applyFont="1" applyFill="1" applyBorder="1" applyAlignment="1" applyProtection="1">
      <alignment horizontal="center" vertical="center"/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20FFF"/>
      <color rgb="FFFFFBD5"/>
      <color rgb="FFE4E0DD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total-digital-solution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1533525</xdr:colOff>
      <xdr:row>5</xdr:row>
      <xdr:rowOff>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2125EF-E55F-413A-38BD-DDA3DBADD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00025"/>
          <a:ext cx="15335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countingservicesforbusiness.co.uk/true-cost-of-an-employee-calculato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CF3F-446A-48CF-9F49-1CF662934886}">
  <dimension ref="B1:L27"/>
  <sheetViews>
    <sheetView tabSelected="1" workbookViewId="0">
      <selection activeCell="B19" sqref="B19"/>
    </sheetView>
  </sheetViews>
  <sheetFormatPr defaultRowHeight="15.75"/>
  <cols>
    <col min="1" max="1" width="9" style="79"/>
    <col min="2" max="2" width="37.25" style="79" bestFit="1" customWidth="1"/>
    <col min="3" max="3" width="13.125" style="79" bestFit="1" customWidth="1"/>
    <col min="4" max="4" width="14.625" style="79" customWidth="1"/>
    <col min="5" max="5" width="19.375" style="79" bestFit="1" customWidth="1"/>
    <col min="6" max="6" width="9" style="79"/>
    <col min="7" max="7" width="24.875" style="79" customWidth="1"/>
    <col min="8" max="8" width="19.5" style="79" customWidth="1"/>
    <col min="9" max="9" width="11.25" style="79" customWidth="1"/>
    <col min="10" max="16384" width="9" style="79"/>
  </cols>
  <sheetData>
    <row r="1" spans="2:12" ht="46.5" customHeight="1"/>
    <row r="2" spans="2:12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2:12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2:12" ht="26.25">
      <c r="B4" s="70"/>
      <c r="C4" s="89" t="s">
        <v>71</v>
      </c>
      <c r="D4" s="23"/>
      <c r="E4" s="23"/>
      <c r="F4" s="23"/>
      <c r="G4" s="23"/>
      <c r="H4" s="70"/>
      <c r="I4" s="70"/>
      <c r="J4" s="70"/>
      <c r="K4" s="70"/>
      <c r="L4" s="70"/>
    </row>
    <row r="5" spans="2:12">
      <c r="B5" s="70"/>
      <c r="C5" s="23"/>
      <c r="D5" s="23"/>
      <c r="E5" s="23"/>
      <c r="F5" s="23"/>
      <c r="G5" s="23"/>
      <c r="H5" s="70"/>
      <c r="I5" s="70"/>
      <c r="J5" s="70"/>
      <c r="K5" s="70"/>
      <c r="L5" s="70"/>
    </row>
    <row r="6" spans="2:12">
      <c r="B6" s="23"/>
      <c r="C6" s="23"/>
      <c r="D6" s="23"/>
      <c r="E6" s="23"/>
      <c r="F6" s="23"/>
      <c r="G6" s="23"/>
      <c r="H6" s="70"/>
      <c r="I6" s="70"/>
      <c r="J6" s="70"/>
      <c r="K6" s="70"/>
      <c r="L6" s="70"/>
    </row>
    <row r="7" spans="2:12">
      <c r="B7" s="23"/>
      <c r="C7" s="23"/>
      <c r="D7" s="23"/>
      <c r="E7" s="23"/>
      <c r="F7" s="23"/>
      <c r="G7" s="23"/>
      <c r="H7" s="70"/>
      <c r="I7" s="70"/>
      <c r="J7" s="70"/>
      <c r="K7" s="70"/>
      <c r="L7" s="70"/>
    </row>
    <row r="8" spans="2:12" ht="15.75" customHeight="1">
      <c r="B8" s="23" t="s">
        <v>73</v>
      </c>
      <c r="C8" s="77">
        <v>5</v>
      </c>
      <c r="D8" s="23"/>
      <c r="E8" s="23"/>
      <c r="F8" s="23"/>
      <c r="G8" s="23"/>
      <c r="H8" s="70"/>
      <c r="I8" s="70"/>
      <c r="J8" s="70"/>
      <c r="K8" s="70"/>
      <c r="L8" s="70"/>
    </row>
    <row r="9" spans="2:12">
      <c r="B9" s="23" t="s">
        <v>52</v>
      </c>
      <c r="C9" s="78">
        <v>28000</v>
      </c>
      <c r="D9" s="23"/>
      <c r="E9" s="23"/>
      <c r="F9" s="23"/>
      <c r="G9" s="23"/>
      <c r="H9" s="70"/>
      <c r="I9" s="70"/>
      <c r="J9" s="70"/>
      <c r="K9" s="70"/>
      <c r="L9" s="70"/>
    </row>
    <row r="10" spans="2:12">
      <c r="B10" s="23"/>
      <c r="C10" s="23"/>
      <c r="D10" s="23"/>
      <c r="E10" s="23"/>
      <c r="F10" s="23"/>
      <c r="G10" s="23"/>
      <c r="H10" s="23"/>
      <c r="I10" s="23"/>
      <c r="J10" s="70"/>
      <c r="K10" s="70"/>
      <c r="L10" s="70"/>
    </row>
    <row r="11" spans="2:12" ht="18.75">
      <c r="B11" s="23"/>
      <c r="C11" s="23"/>
      <c r="D11" s="23"/>
      <c r="E11" s="23"/>
      <c r="F11" s="23"/>
      <c r="G11" s="91" t="s">
        <v>72</v>
      </c>
      <c r="H11" s="92"/>
      <c r="I11" s="92"/>
      <c r="J11" s="70"/>
      <c r="K11" s="70"/>
      <c r="L11" s="70"/>
    </row>
    <row r="12" spans="2:12">
      <c r="B12" s="23"/>
      <c r="C12" s="23"/>
      <c r="D12" s="23"/>
      <c r="E12" s="23"/>
      <c r="F12" s="23"/>
      <c r="G12" s="23" t="s">
        <v>75</v>
      </c>
      <c r="H12" s="23"/>
      <c r="I12" s="23"/>
      <c r="J12" s="80" t="s">
        <v>74</v>
      </c>
      <c r="K12" s="70"/>
      <c r="L12" s="70"/>
    </row>
    <row r="13" spans="2:12">
      <c r="B13" s="74" t="s">
        <v>53</v>
      </c>
      <c r="C13" s="74" t="s">
        <v>54</v>
      </c>
      <c r="D13" s="74" t="s">
        <v>55</v>
      </c>
      <c r="E13" s="75" t="s">
        <v>76</v>
      </c>
      <c r="F13" s="23"/>
      <c r="G13" s="84" t="s">
        <v>56</v>
      </c>
      <c r="H13" s="71" t="s">
        <v>57</v>
      </c>
      <c r="I13" s="71" t="s">
        <v>58</v>
      </c>
      <c r="J13" s="70"/>
      <c r="K13" s="70"/>
      <c r="L13" s="70"/>
    </row>
    <row r="14" spans="2:12">
      <c r="B14" s="76">
        <v>10</v>
      </c>
      <c r="C14" s="72">
        <f t="shared" ref="C14:C19" si="0">B14*$C$8/60</f>
        <v>0.83333333333333337</v>
      </c>
      <c r="D14" s="72">
        <f>C14*20</f>
        <v>16.666666666666668</v>
      </c>
      <c r="E14" s="73">
        <f>D14*$I$25*12</f>
        <v>3704.1233140655108</v>
      </c>
      <c r="F14" s="23"/>
      <c r="G14" s="85" t="s">
        <v>59</v>
      </c>
      <c r="H14" s="85" t="s">
        <v>60</v>
      </c>
      <c r="I14" s="77">
        <v>6000</v>
      </c>
      <c r="J14" s="70"/>
      <c r="K14" s="70"/>
      <c r="L14" s="70"/>
    </row>
    <row r="15" spans="2:12">
      <c r="B15" s="76">
        <v>20</v>
      </c>
      <c r="C15" s="72">
        <f t="shared" si="0"/>
        <v>1.6666666666666667</v>
      </c>
      <c r="D15" s="72">
        <f t="shared" ref="D15:D19" si="1">C15*20</f>
        <v>33.333333333333336</v>
      </c>
      <c r="E15" s="73">
        <f t="shared" ref="E15:E19" si="2">D15*$I$25*12</f>
        <v>7408.2466281310217</v>
      </c>
      <c r="F15" s="23"/>
      <c r="G15" s="85" t="s">
        <v>61</v>
      </c>
      <c r="H15" s="85" t="s">
        <v>62</v>
      </c>
      <c r="I15" s="77">
        <v>500</v>
      </c>
      <c r="J15" s="70"/>
      <c r="K15" s="70"/>
      <c r="L15" s="70"/>
    </row>
    <row r="16" spans="2:12">
      <c r="B16" s="76">
        <v>30</v>
      </c>
      <c r="C16" s="72">
        <f t="shared" si="0"/>
        <v>2.5</v>
      </c>
      <c r="D16" s="72">
        <f t="shared" si="1"/>
        <v>50</v>
      </c>
      <c r="E16" s="73">
        <f t="shared" si="2"/>
        <v>11112.369942196532</v>
      </c>
      <c r="F16" s="23"/>
      <c r="G16" s="85" t="s">
        <v>63</v>
      </c>
      <c r="H16" s="85"/>
      <c r="I16" s="87">
        <f>C9</f>
        <v>28000</v>
      </c>
      <c r="J16" s="70"/>
      <c r="K16" s="70"/>
      <c r="L16" s="70"/>
    </row>
    <row r="17" spans="2:12">
      <c r="B17" s="76">
        <v>40</v>
      </c>
      <c r="C17" s="72">
        <f t="shared" si="0"/>
        <v>3.3333333333333335</v>
      </c>
      <c r="D17" s="72">
        <f t="shared" si="1"/>
        <v>66.666666666666671</v>
      </c>
      <c r="E17" s="73">
        <f t="shared" si="2"/>
        <v>14816.493256262043</v>
      </c>
      <c r="F17" s="23"/>
      <c r="G17" s="85" t="s">
        <v>64</v>
      </c>
      <c r="H17" s="81">
        <v>0.03</v>
      </c>
      <c r="I17" s="87">
        <f>I16/100*3</f>
        <v>840</v>
      </c>
      <c r="J17" s="70"/>
      <c r="K17" s="70"/>
      <c r="L17" s="70"/>
    </row>
    <row r="18" spans="2:12">
      <c r="B18" s="76">
        <v>50</v>
      </c>
      <c r="C18" s="72">
        <f t="shared" si="0"/>
        <v>4.166666666666667</v>
      </c>
      <c r="D18" s="72">
        <f t="shared" si="1"/>
        <v>83.333333333333343</v>
      </c>
      <c r="E18" s="73">
        <f t="shared" si="2"/>
        <v>18520.616570327555</v>
      </c>
      <c r="F18" s="23"/>
      <c r="G18" s="85" t="s">
        <v>65</v>
      </c>
      <c r="H18" s="88">
        <v>0.13800000000000001</v>
      </c>
      <c r="I18" s="87">
        <f>Summary!AC28</f>
        <v>2608.8000000000006</v>
      </c>
      <c r="J18" s="70"/>
      <c r="K18" s="70"/>
      <c r="L18" s="70"/>
    </row>
    <row r="19" spans="2:12">
      <c r="B19" s="93">
        <v>100</v>
      </c>
      <c r="C19" s="72">
        <f t="shared" si="0"/>
        <v>8.3333333333333339</v>
      </c>
      <c r="D19" s="72">
        <f t="shared" si="1"/>
        <v>166.66666666666669</v>
      </c>
      <c r="E19" s="73">
        <f t="shared" si="2"/>
        <v>37041.233140655109</v>
      </c>
      <c r="F19" s="23"/>
      <c r="G19" s="85" t="s">
        <v>66</v>
      </c>
      <c r="H19" s="85"/>
      <c r="I19" s="82">
        <v>0</v>
      </c>
      <c r="J19" s="70"/>
      <c r="K19" s="70"/>
      <c r="L19" s="70"/>
    </row>
    <row r="20" spans="2:12">
      <c r="B20" s="23"/>
      <c r="C20" s="23"/>
      <c r="D20" s="23"/>
      <c r="E20" s="23"/>
      <c r="F20" s="23"/>
      <c r="G20" s="85" t="s">
        <v>67</v>
      </c>
      <c r="H20" s="85"/>
      <c r="I20" s="82">
        <v>500</v>
      </c>
      <c r="J20" s="70"/>
      <c r="K20" s="70"/>
      <c r="L20" s="70"/>
    </row>
    <row r="21" spans="2:12">
      <c r="B21" s="23"/>
      <c r="C21" s="23"/>
      <c r="D21" s="23"/>
      <c r="E21" s="23"/>
      <c r="F21" s="23"/>
      <c r="G21" s="85" t="s">
        <v>68</v>
      </c>
      <c r="H21" s="85"/>
      <c r="I21" s="82">
        <v>0</v>
      </c>
      <c r="J21" s="70"/>
      <c r="K21" s="70"/>
      <c r="L21" s="70"/>
    </row>
    <row r="22" spans="2:12">
      <c r="B22" s="23"/>
      <c r="C22" s="23"/>
      <c r="D22" s="23"/>
      <c r="E22" s="23"/>
      <c r="F22" s="23"/>
      <c r="G22" s="85" t="s">
        <v>69</v>
      </c>
      <c r="H22" s="85"/>
      <c r="I22" s="82">
        <v>0</v>
      </c>
      <c r="J22" s="70"/>
      <c r="K22" s="70"/>
      <c r="L22" s="70"/>
    </row>
    <row r="23" spans="2:12">
      <c r="B23" s="83" t="s">
        <v>77</v>
      </c>
      <c r="C23" s="23"/>
      <c r="D23" s="23"/>
      <c r="E23" s="23"/>
      <c r="F23" s="23"/>
      <c r="G23" s="86" t="s">
        <v>82</v>
      </c>
      <c r="H23" s="86"/>
      <c r="I23" s="90">
        <f>SUM(I14:I22)</f>
        <v>38448.800000000003</v>
      </c>
      <c r="J23" s="70"/>
      <c r="K23" s="70"/>
      <c r="L23" s="70"/>
    </row>
    <row r="24" spans="2:12">
      <c r="B24" s="23" t="s">
        <v>79</v>
      </c>
      <c r="C24" s="23"/>
      <c r="D24" s="23"/>
      <c r="E24" s="23"/>
      <c r="F24" s="23"/>
      <c r="G24" s="85" t="s">
        <v>83</v>
      </c>
      <c r="H24" s="85"/>
      <c r="I24" s="87">
        <f>I23/12</f>
        <v>3204.0666666666671</v>
      </c>
      <c r="J24" s="70"/>
      <c r="K24" s="70"/>
      <c r="L24" s="70"/>
    </row>
    <row r="25" spans="2:12">
      <c r="B25" s="23" t="s">
        <v>78</v>
      </c>
      <c r="C25" s="23"/>
      <c r="D25" s="23"/>
      <c r="E25" s="23"/>
      <c r="F25" s="23"/>
      <c r="G25" s="86" t="s">
        <v>84</v>
      </c>
      <c r="H25" s="86"/>
      <c r="I25" s="90">
        <f>I24/173</f>
        <v>18.520616570327554</v>
      </c>
      <c r="J25" s="70"/>
      <c r="K25" s="70"/>
      <c r="L25" s="70"/>
    </row>
    <row r="26" spans="2:12">
      <c r="B26" s="23" t="s">
        <v>80</v>
      </c>
      <c r="C26" s="23"/>
      <c r="D26" s="23"/>
      <c r="E26" s="23"/>
      <c r="F26" s="23"/>
      <c r="G26" s="23"/>
      <c r="H26" s="23"/>
      <c r="I26" s="23"/>
      <c r="J26" s="70"/>
      <c r="K26" s="70"/>
      <c r="L26" s="70"/>
    </row>
    <row r="27" spans="2:12">
      <c r="B27" s="23" t="s">
        <v>81</v>
      </c>
      <c r="C27" s="23"/>
      <c r="D27" s="23"/>
      <c r="E27" s="23"/>
      <c r="F27" s="23"/>
      <c r="G27" s="23"/>
      <c r="H27" s="23"/>
      <c r="I27" s="23"/>
      <c r="J27" s="70"/>
      <c r="K27" s="70"/>
      <c r="L27" s="70"/>
    </row>
  </sheetData>
  <sheetProtection algorithmName="SHA-512" hashValue="X1whqISsC1RhJeL9/BrujAtrkTIMKtdHzzu7q4EyKauN7tB2hPfNGM5TWjf2nrvbkKfA2lz3rplNBOkxscn8ZA==" saltValue="pOvUp27uc4OEfdG2lYYiUw==" spinCount="100000" sheet="1" objects="1" scenarios="1" selectLockedCells="1"/>
  <mergeCells count="1">
    <mergeCell ref="G11:I11"/>
  </mergeCells>
  <hyperlinks>
    <hyperlink ref="J12" r:id="rId1" xr:uid="{B5508926-D336-4807-AB2C-CABD96A96D3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A02F-AC62-0541-AE79-A83C899F26C7}">
  <dimension ref="B1:J20"/>
  <sheetViews>
    <sheetView showGridLines="0" zoomScaleNormal="100" workbookViewId="0">
      <selection activeCell="C22" sqref="C22"/>
    </sheetView>
  </sheetViews>
  <sheetFormatPr defaultColWidth="11" defaultRowHeight="15.75"/>
  <cols>
    <col min="1" max="1" width="3" customWidth="1"/>
    <col min="2" max="2" width="10.875" customWidth="1"/>
    <col min="3" max="3" width="11" customWidth="1"/>
    <col min="4" max="4" width="12.875" customWidth="1"/>
    <col min="5" max="5" width="11" customWidth="1"/>
    <col min="6" max="6" width="9.875" customWidth="1"/>
    <col min="7" max="8" width="11" customWidth="1"/>
    <col min="9" max="9" width="11.5" customWidth="1"/>
    <col min="10" max="10" width="14.5" customWidth="1"/>
  </cols>
  <sheetData>
    <row r="1" spans="2:10" ht="9" customHeight="1">
      <c r="B1" s="10"/>
      <c r="C1" s="10"/>
      <c r="D1" s="10"/>
      <c r="E1" s="10"/>
      <c r="F1" s="10"/>
      <c r="G1" s="10"/>
      <c r="H1" s="10"/>
      <c r="I1" s="10"/>
      <c r="J1" s="10"/>
    </row>
    <row r="2" spans="2:10">
      <c r="B2" s="8" t="s">
        <v>47</v>
      </c>
      <c r="C2" s="8"/>
      <c r="F2" s="8"/>
      <c r="G2" s="8"/>
      <c r="H2" s="8"/>
      <c r="I2" s="8"/>
    </row>
    <row r="3" spans="2:10" ht="9" customHeight="1">
      <c r="B3" s="3"/>
      <c r="C3" s="3"/>
      <c r="D3" s="3"/>
      <c r="E3" s="3"/>
      <c r="F3" s="3"/>
      <c r="G3" s="3"/>
      <c r="H3" s="3"/>
      <c r="I3" s="3"/>
      <c r="J3" s="3"/>
    </row>
    <row r="4" spans="2:10">
      <c r="B4" s="1" t="s">
        <v>26</v>
      </c>
      <c r="C4" s="2" t="s">
        <v>5</v>
      </c>
      <c r="D4" s="2" t="s">
        <v>0</v>
      </c>
      <c r="E4" s="2" t="s">
        <v>1</v>
      </c>
      <c r="F4" s="2" t="s">
        <v>6</v>
      </c>
      <c r="G4" s="2" t="s">
        <v>28</v>
      </c>
      <c r="H4" s="2" t="s">
        <v>7</v>
      </c>
      <c r="I4" s="2" t="s">
        <v>48</v>
      </c>
      <c r="J4" s="2" t="s">
        <v>49</v>
      </c>
    </row>
    <row r="5" spans="2:10">
      <c r="B5" s="9" t="s">
        <v>27</v>
      </c>
      <c r="C5" s="4">
        <v>0</v>
      </c>
      <c r="D5" s="5">
        <v>0.12000000000000001</v>
      </c>
      <c r="E5" s="5">
        <v>0.02</v>
      </c>
      <c r="F5" s="7">
        <v>533</v>
      </c>
      <c r="G5" s="7">
        <v>1048</v>
      </c>
      <c r="H5" s="7">
        <v>4189</v>
      </c>
      <c r="I5" s="7">
        <v>758</v>
      </c>
      <c r="J5" s="5">
        <v>0.13800000000000001</v>
      </c>
    </row>
    <row r="6" spans="2:10">
      <c r="B6" s="9" t="s">
        <v>34</v>
      </c>
      <c r="C6" s="4">
        <v>0</v>
      </c>
      <c r="D6" s="5">
        <v>5.8499999999999996E-2</v>
      </c>
      <c r="E6" s="5">
        <v>0.02</v>
      </c>
      <c r="F6" s="7">
        <v>533</v>
      </c>
      <c r="G6" s="7">
        <v>1048</v>
      </c>
      <c r="H6" s="7">
        <v>4189</v>
      </c>
      <c r="I6" s="7">
        <v>758</v>
      </c>
      <c r="J6" s="5">
        <v>0.13800000000000001</v>
      </c>
    </row>
    <row r="7" spans="2:10">
      <c r="B7" s="9" t="s">
        <v>35</v>
      </c>
      <c r="C7" s="4">
        <v>0</v>
      </c>
      <c r="D7" s="4">
        <v>0</v>
      </c>
      <c r="E7" s="4">
        <v>0</v>
      </c>
      <c r="F7" s="7">
        <v>533</v>
      </c>
      <c r="G7" s="7">
        <v>1048</v>
      </c>
      <c r="H7" s="7">
        <v>4189</v>
      </c>
      <c r="I7" s="7">
        <v>758</v>
      </c>
      <c r="J7" s="5">
        <v>0.13800000000000001</v>
      </c>
    </row>
    <row r="8" spans="2:10" s="6" customFormat="1">
      <c r="B8" s="9" t="s">
        <v>36</v>
      </c>
      <c r="C8" s="4">
        <v>0</v>
      </c>
      <c r="D8" s="5">
        <v>0.12000000000000001</v>
      </c>
      <c r="E8" s="5">
        <v>0.02</v>
      </c>
      <c r="F8" s="7">
        <v>533</v>
      </c>
      <c r="G8" s="7">
        <v>2083</v>
      </c>
      <c r="H8" s="7">
        <v>4189</v>
      </c>
      <c r="I8" s="7">
        <v>758</v>
      </c>
      <c r="J8" s="5">
        <v>0.13800000000000001</v>
      </c>
    </row>
    <row r="9" spans="2:10">
      <c r="B9" s="9" t="s">
        <v>37</v>
      </c>
      <c r="C9" s="4">
        <v>0</v>
      </c>
      <c r="D9" s="5">
        <v>0.12000000000000001</v>
      </c>
      <c r="E9" s="5">
        <v>0.02</v>
      </c>
      <c r="F9" s="7">
        <v>533</v>
      </c>
      <c r="G9" s="7">
        <v>4189</v>
      </c>
      <c r="H9" s="7">
        <v>4189</v>
      </c>
      <c r="I9" s="7">
        <v>758</v>
      </c>
      <c r="J9" s="5">
        <v>0.13800000000000001</v>
      </c>
    </row>
    <row r="10" spans="2:10">
      <c r="B10" s="9" t="s">
        <v>38</v>
      </c>
      <c r="C10" s="4">
        <v>0</v>
      </c>
      <c r="D10" s="5">
        <v>5.8499999999999996E-2</v>
      </c>
      <c r="E10" s="5">
        <v>0.02</v>
      </c>
      <c r="F10" s="7">
        <v>533</v>
      </c>
      <c r="G10" s="7">
        <v>2083</v>
      </c>
      <c r="H10" s="7">
        <v>4189</v>
      </c>
      <c r="I10" s="7">
        <v>758</v>
      </c>
      <c r="J10" s="5">
        <v>0.13800000000000001</v>
      </c>
    </row>
    <row r="11" spans="2:10">
      <c r="B11" s="9" t="s">
        <v>39</v>
      </c>
      <c r="C11" s="4">
        <v>0</v>
      </c>
      <c r="D11" s="5">
        <v>0.02</v>
      </c>
      <c r="E11" s="5">
        <v>0.02</v>
      </c>
      <c r="F11" s="7">
        <v>533</v>
      </c>
      <c r="G11" s="7">
        <v>2083</v>
      </c>
      <c r="H11" s="7">
        <v>4189</v>
      </c>
      <c r="I11" s="7">
        <v>758</v>
      </c>
      <c r="J11" s="5">
        <v>0.13800000000000001</v>
      </c>
    </row>
    <row r="12" spans="2:10">
      <c r="B12" s="9" t="s">
        <v>40</v>
      </c>
      <c r="C12" s="4">
        <v>0</v>
      </c>
      <c r="D12" s="5">
        <v>0.02</v>
      </c>
      <c r="E12" s="5">
        <v>0.02</v>
      </c>
      <c r="F12" s="7">
        <v>533</v>
      </c>
      <c r="G12" s="7">
        <v>2083</v>
      </c>
      <c r="H12" s="7">
        <v>4189</v>
      </c>
      <c r="I12" s="7">
        <v>758</v>
      </c>
      <c r="J12" s="5">
        <v>0.13800000000000001</v>
      </c>
    </row>
    <row r="13" spans="2:10">
      <c r="B13" s="9" t="s">
        <v>41</v>
      </c>
      <c r="C13" s="4">
        <v>0</v>
      </c>
      <c r="D13" s="5">
        <v>0.12000000000000001</v>
      </c>
      <c r="E13" s="5">
        <v>0.02</v>
      </c>
      <c r="F13" s="7">
        <v>533</v>
      </c>
      <c r="G13" s="7">
        <v>4189</v>
      </c>
      <c r="H13" s="7">
        <v>4189</v>
      </c>
      <c r="I13" s="7">
        <v>758</v>
      </c>
      <c r="J13" s="5">
        <v>0.13800000000000001</v>
      </c>
    </row>
    <row r="14" spans="2:10">
      <c r="B14" s="9" t="s">
        <v>42</v>
      </c>
      <c r="C14" s="4">
        <v>0</v>
      </c>
      <c r="D14" s="4">
        <v>0</v>
      </c>
      <c r="E14" s="4">
        <v>0</v>
      </c>
      <c r="F14" s="7">
        <v>533</v>
      </c>
      <c r="G14" s="7">
        <v>2083</v>
      </c>
      <c r="H14" s="7">
        <v>4189</v>
      </c>
      <c r="I14" s="7">
        <v>758</v>
      </c>
      <c r="J14" s="5">
        <v>0.13800000000000001</v>
      </c>
    </row>
    <row r="15" spans="2:10">
      <c r="B15" s="9" t="s">
        <v>43</v>
      </c>
      <c r="C15" s="4">
        <v>0</v>
      </c>
      <c r="D15" s="5">
        <v>0.12000000000000001</v>
      </c>
      <c r="E15" s="5">
        <v>0.02</v>
      </c>
      <c r="F15" s="7">
        <v>533</v>
      </c>
      <c r="G15" s="7">
        <v>4189</v>
      </c>
      <c r="H15" s="7">
        <v>4189</v>
      </c>
      <c r="I15" s="7">
        <v>758</v>
      </c>
      <c r="J15" s="5">
        <v>0.13800000000000001</v>
      </c>
    </row>
    <row r="16" spans="2:10">
      <c r="B16" s="9" t="s">
        <v>44</v>
      </c>
      <c r="C16" s="4">
        <v>0</v>
      </c>
      <c r="D16" s="5">
        <v>0.02</v>
      </c>
      <c r="E16" s="5">
        <v>0.02</v>
      </c>
      <c r="F16" s="7">
        <v>533</v>
      </c>
      <c r="G16" s="7">
        <v>4189</v>
      </c>
      <c r="H16" s="7">
        <v>4189</v>
      </c>
      <c r="I16" s="7">
        <v>758</v>
      </c>
      <c r="J16" s="5">
        <v>0.13800000000000001</v>
      </c>
    </row>
    <row r="20" ht="9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DA67C-4B74-424A-8106-976DDC98B49F}">
  <dimension ref="A1:AF34"/>
  <sheetViews>
    <sheetView showGridLines="0" zoomScaleNormal="100" workbookViewId="0">
      <selection activeCell="E37" sqref="E37"/>
    </sheetView>
  </sheetViews>
  <sheetFormatPr defaultColWidth="11" defaultRowHeight="15.75" outlineLevelCol="1"/>
  <cols>
    <col min="1" max="1" width="6.875" style="18" customWidth="1"/>
    <col min="2" max="2" width="3.625" style="18" customWidth="1"/>
    <col min="3" max="3" width="13.5" style="18" customWidth="1"/>
    <col min="4" max="4" width="10.125" style="57" customWidth="1"/>
    <col min="5" max="5" width="11.875" style="57" customWidth="1"/>
    <col min="6" max="6" width="3.625" style="18" customWidth="1"/>
    <col min="7" max="11" width="9.625" style="18" hidden="1" customWidth="1" outlineLevel="1"/>
    <col min="12" max="12" width="2.5" style="18" hidden="1" customWidth="1" outlineLevel="1"/>
    <col min="13" max="13" width="8.875" style="18" customWidth="1" collapsed="1"/>
    <col min="14" max="14" width="12.625" style="18" customWidth="1"/>
    <col min="15" max="15" width="13.5" style="18" customWidth="1"/>
    <col min="16" max="16" width="9" style="18" customWidth="1"/>
    <col min="17" max="17" width="2.5" style="18" hidden="1" customWidth="1" outlineLevel="1"/>
    <col min="18" max="19" width="11.5" style="18" hidden="1" customWidth="1" outlineLevel="1"/>
    <col min="20" max="20" width="2.625" style="18" customWidth="1" collapsed="1"/>
    <col min="21" max="21" width="13" style="18" customWidth="1"/>
    <col min="22" max="22" width="3.625" style="18" customWidth="1"/>
    <col min="23" max="23" width="8.375" style="18" hidden="1" customWidth="1" outlineLevel="1"/>
    <col min="24" max="24" width="6.5" style="18" customWidth="1" outlineLevel="1"/>
    <col min="25" max="25" width="11.75" style="18" customWidth="1" outlineLevel="1"/>
    <col min="26" max="26" width="10.5" style="18" customWidth="1"/>
    <col min="27" max="27" width="12.625" style="18" customWidth="1"/>
    <col min="28" max="28" width="2.625" style="18" customWidth="1"/>
    <col min="29" max="29" width="12.5" style="18" customWidth="1"/>
    <col min="30" max="30" width="3.625" style="18" customWidth="1"/>
    <col min="31" max="31" width="13.625" style="57" customWidth="1"/>
    <col min="32" max="32" width="5.125" style="18" customWidth="1"/>
    <col min="33" max="16384" width="11" style="18"/>
  </cols>
  <sheetData>
    <row r="1" spans="1:32" ht="30.95" customHeight="1">
      <c r="C1" s="19"/>
      <c r="D1" s="20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1"/>
      <c r="AB1" s="19"/>
      <c r="AC1" s="19"/>
      <c r="AD1" s="19"/>
      <c r="AE1" s="20"/>
      <c r="AF1" s="19"/>
    </row>
    <row r="2" spans="1:32" s="12" customFormat="1" ht="18" customHeight="1">
      <c r="A2" s="11"/>
      <c r="B2" s="14"/>
      <c r="C2" s="13"/>
      <c r="D2" s="13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s="12" customFormat="1" ht="18" customHeight="1">
      <c r="A3" s="11"/>
      <c r="B3" s="14"/>
      <c r="C3" s="13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18" customHeight="1">
      <c r="A4" s="11"/>
      <c r="B4" s="14"/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>
      <c r="B5" s="22"/>
      <c r="C5" s="23"/>
      <c r="D5" s="24"/>
      <c r="E5" s="24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5"/>
      <c r="AB5" s="23"/>
      <c r="AC5" s="23"/>
      <c r="AD5" s="23"/>
      <c r="AE5" s="24"/>
      <c r="AF5" s="23"/>
    </row>
    <row r="6" spans="1:32" s="12" customFormat="1" ht="35.1" customHeight="1">
      <c r="A6" s="11"/>
      <c r="B6" s="14"/>
      <c r="C6" s="17" t="s">
        <v>50</v>
      </c>
      <c r="D6" s="13"/>
      <c r="E6" s="1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>
      <c r="B7" s="22"/>
      <c r="C7" s="23"/>
      <c r="D7" s="24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4"/>
      <c r="AF7" s="23"/>
    </row>
    <row r="8" spans="1:32">
      <c r="B8" s="22"/>
      <c r="C8" s="23" t="s">
        <v>26</v>
      </c>
      <c r="D8" s="69" t="s">
        <v>27</v>
      </c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4"/>
      <c r="AF8" s="23"/>
    </row>
    <row r="9" spans="1:32" ht="18" customHeight="1">
      <c r="B9" s="22"/>
      <c r="C9" s="23" t="s">
        <v>45</v>
      </c>
      <c r="D9" s="68">
        <f>D10/12</f>
        <v>2333.3333333333335</v>
      </c>
      <c r="E9" s="23"/>
      <c r="F9" s="2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4"/>
      <c r="AF9" s="23"/>
    </row>
    <row r="10" spans="1:32" ht="18" customHeight="1">
      <c r="B10" s="22"/>
      <c r="C10" s="23" t="s">
        <v>70</v>
      </c>
      <c r="D10" s="68">
        <f>Sheet1!C9</f>
        <v>28000</v>
      </c>
      <c r="E10" s="23"/>
      <c r="F10" s="24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23"/>
    </row>
    <row r="11" spans="1:32">
      <c r="B11" s="22"/>
      <c r="C11" s="26"/>
      <c r="D11" s="27"/>
      <c r="E11" s="23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7"/>
      <c r="AF11" s="26"/>
    </row>
    <row r="12" spans="1:32" ht="16.5" thickBot="1">
      <c r="B12" s="22"/>
      <c r="C12" s="59" t="s">
        <v>32</v>
      </c>
      <c r="D12" s="60"/>
      <c r="E12" s="60"/>
      <c r="F12" s="26"/>
      <c r="G12" s="58"/>
      <c r="H12" s="26"/>
      <c r="I12" s="26"/>
      <c r="J12" s="26"/>
      <c r="K12" s="26"/>
      <c r="L12" s="26"/>
      <c r="M12" s="59" t="s">
        <v>11</v>
      </c>
      <c r="N12" s="61"/>
      <c r="O12" s="61"/>
      <c r="P12" s="61"/>
      <c r="Q12" s="61"/>
      <c r="R12" s="61"/>
      <c r="S12" s="62"/>
      <c r="T12" s="61"/>
      <c r="U12" s="62"/>
      <c r="V12" s="26"/>
      <c r="W12" s="58"/>
      <c r="X12" s="58"/>
      <c r="Y12" s="58"/>
      <c r="Z12" s="59" t="s">
        <v>12</v>
      </c>
      <c r="AA12" s="61"/>
      <c r="AB12" s="61"/>
      <c r="AC12" s="61"/>
      <c r="AD12" s="26"/>
      <c r="AE12" s="60" t="s">
        <v>46</v>
      </c>
      <c r="AF12" s="26"/>
    </row>
    <row r="13" spans="1:32" ht="6" customHeight="1">
      <c r="B13" s="22"/>
      <c r="C13" s="26"/>
      <c r="D13" s="27"/>
      <c r="E13" s="27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7"/>
      <c r="AF13" s="26"/>
    </row>
    <row r="14" spans="1:32">
      <c r="B14" s="22"/>
      <c r="C14" s="63" t="s">
        <v>51</v>
      </c>
      <c r="D14" s="29"/>
      <c r="E14" s="29"/>
      <c r="F14" s="26"/>
      <c r="G14" s="28" t="s">
        <v>30</v>
      </c>
      <c r="H14" s="28"/>
      <c r="I14" s="28"/>
      <c r="J14" s="28"/>
      <c r="K14" s="28"/>
      <c r="L14" s="30"/>
      <c r="M14" s="63" t="s">
        <v>29</v>
      </c>
      <c r="N14" s="31"/>
      <c r="O14" s="31"/>
      <c r="P14" s="31"/>
      <c r="Q14" s="30"/>
      <c r="R14" s="28" t="s">
        <v>11</v>
      </c>
      <c r="S14" s="28"/>
      <c r="T14" s="26"/>
      <c r="U14" s="28"/>
      <c r="V14" s="26"/>
      <c r="W14" s="28" t="s">
        <v>31</v>
      </c>
      <c r="X14" s="32"/>
      <c r="Y14" s="30"/>
      <c r="Z14" s="64" t="s">
        <v>8</v>
      </c>
      <c r="AA14" s="32"/>
      <c r="AB14" s="26"/>
      <c r="AC14" s="63" t="s">
        <v>12</v>
      </c>
      <c r="AD14" s="26"/>
      <c r="AE14" s="63" t="s">
        <v>46</v>
      </c>
      <c r="AF14" s="26"/>
    </row>
    <row r="15" spans="1:32">
      <c r="B15" s="22"/>
      <c r="C15" s="33" t="s">
        <v>3</v>
      </c>
      <c r="D15" s="34"/>
      <c r="E15" s="35" t="s">
        <v>13</v>
      </c>
      <c r="F15" s="26"/>
      <c r="G15" s="36" t="s">
        <v>6</v>
      </c>
      <c r="H15" s="36" t="s">
        <v>28</v>
      </c>
      <c r="I15" s="36" t="s">
        <v>7</v>
      </c>
      <c r="J15" s="35" t="s">
        <v>0</v>
      </c>
      <c r="K15" s="35" t="s">
        <v>1</v>
      </c>
      <c r="L15" s="35"/>
      <c r="M15" s="35" t="s">
        <v>4</v>
      </c>
      <c r="N15" s="35" t="s">
        <v>5</v>
      </c>
      <c r="O15" s="35" t="s">
        <v>0</v>
      </c>
      <c r="P15" s="35" t="s">
        <v>1</v>
      </c>
      <c r="Q15" s="35"/>
      <c r="R15" s="35" t="s">
        <v>0</v>
      </c>
      <c r="S15" s="35" t="s">
        <v>1</v>
      </c>
      <c r="T15" s="35"/>
      <c r="U15" s="37" t="s">
        <v>11</v>
      </c>
      <c r="V15" s="26"/>
      <c r="W15" s="35" t="s">
        <v>48</v>
      </c>
      <c r="X15" s="35" t="s">
        <v>49</v>
      </c>
      <c r="Y15" s="35"/>
      <c r="Z15" s="35" t="s">
        <v>10</v>
      </c>
      <c r="AA15" s="35" t="s">
        <v>9</v>
      </c>
      <c r="AB15" s="35"/>
      <c r="AC15" s="37" t="s">
        <v>33</v>
      </c>
      <c r="AD15" s="26"/>
      <c r="AE15" s="37"/>
      <c r="AF15" s="26"/>
    </row>
    <row r="16" spans="1:32">
      <c r="B16" s="22"/>
      <c r="C16" s="26" t="s">
        <v>14</v>
      </c>
      <c r="D16" s="38" t="str">
        <f>$D$8</f>
        <v>A</v>
      </c>
      <c r="E16" s="39">
        <f>$D$9</f>
        <v>2333.3333333333335</v>
      </c>
      <c r="F16" s="26"/>
      <c r="G16" s="40">
        <f t="shared" ref="G16:I27" si="0">INDEX(Rates,MATCH($D16,categories,0),MATCH(G$15,Type,0))</f>
        <v>533</v>
      </c>
      <c r="H16" s="40">
        <f t="shared" si="0"/>
        <v>1048</v>
      </c>
      <c r="I16" s="40">
        <f t="shared" si="0"/>
        <v>4189</v>
      </c>
      <c r="J16" s="41">
        <f>INDEX(Rates!$D:$D,MATCH($D$16,Rates!$B:$B,0))</f>
        <v>0.12000000000000001</v>
      </c>
      <c r="K16" s="41">
        <f>INDEX(Rates!$E:$E,MATCH($D$16,Rates!$B:$B,0))</f>
        <v>0.02</v>
      </c>
      <c r="L16" s="39"/>
      <c r="M16" s="39">
        <f>MIN(E16,Summary!G16)</f>
        <v>533</v>
      </c>
      <c r="N16" s="39">
        <f>MIN(E16,Summary!H16)-M16</f>
        <v>515</v>
      </c>
      <c r="O16" s="39">
        <f>MIN(E16,Summary!I16)-SUM(M16:N16)</f>
        <v>1285.3333333333335</v>
      </c>
      <c r="P16" s="39">
        <f t="shared" ref="P16:P27" si="1">E16-SUM(M16:O16)</f>
        <v>0</v>
      </c>
      <c r="Q16" s="39"/>
      <c r="R16" s="39">
        <f>ROUND((Summary!O16-0.001)*Summary!J$16,2)</f>
        <v>154.24</v>
      </c>
      <c r="S16" s="39">
        <f>ROUND((Summary!P16-0.001)*Summary!K$16,2)</f>
        <v>0</v>
      </c>
      <c r="T16" s="42"/>
      <c r="U16" s="43">
        <f>SUM(R16:S16)</f>
        <v>154.24</v>
      </c>
      <c r="V16" s="26"/>
      <c r="W16" s="40">
        <f t="shared" ref="W16:X27" si="2">INDEX(Rates,MATCH($D16,categories,0),MATCH(W$15,Type,0))</f>
        <v>758</v>
      </c>
      <c r="X16" s="44">
        <f t="shared" si="2"/>
        <v>0.13800000000000001</v>
      </c>
      <c r="Y16" s="39"/>
      <c r="Z16" s="39">
        <f t="shared" ref="Z16" si="3">MIN(E16,W16)</f>
        <v>758</v>
      </c>
      <c r="AA16" s="39">
        <f t="shared" ref="AA16" si="4">E16-Z16</f>
        <v>1575.3333333333335</v>
      </c>
      <c r="AB16" s="42"/>
      <c r="AC16" s="45">
        <f>ROUND((AA16-0.001)*X16,2)</f>
        <v>217.4</v>
      </c>
      <c r="AD16" s="26"/>
      <c r="AE16" s="45">
        <f>AC16+U16</f>
        <v>371.64</v>
      </c>
      <c r="AF16" s="26"/>
    </row>
    <row r="17" spans="2:32">
      <c r="B17" s="22"/>
      <c r="C17" s="26" t="s">
        <v>15</v>
      </c>
      <c r="D17" s="38" t="str">
        <f t="shared" ref="D17:D27" si="5">$D$8</f>
        <v>A</v>
      </c>
      <c r="E17" s="39">
        <f t="shared" ref="E17:E27" si="6">$D$9</f>
        <v>2333.3333333333335</v>
      </c>
      <c r="F17" s="26"/>
      <c r="G17" s="40">
        <f t="shared" si="0"/>
        <v>533</v>
      </c>
      <c r="H17" s="40">
        <f t="shared" si="0"/>
        <v>1048</v>
      </c>
      <c r="I17" s="40">
        <f t="shared" si="0"/>
        <v>4189</v>
      </c>
      <c r="J17" s="41">
        <f>INDEX(Rates!$D:$D,MATCH($D$16,Rates!$B:$B,0))</f>
        <v>0.12000000000000001</v>
      </c>
      <c r="K17" s="41">
        <f>INDEX(Rates!$E:$E,MATCH($D$16,Rates!$B:$B,0))</f>
        <v>0.02</v>
      </c>
      <c r="L17" s="39"/>
      <c r="M17" s="39">
        <f>MIN(E17,Summary!G17)</f>
        <v>533</v>
      </c>
      <c r="N17" s="39">
        <f>MIN(E17,Summary!H17)-M17</f>
        <v>515</v>
      </c>
      <c r="O17" s="39">
        <f>MIN(E17,Summary!I17)-SUM(M17:N17)</f>
        <v>1285.3333333333335</v>
      </c>
      <c r="P17" s="39">
        <f t="shared" si="1"/>
        <v>0</v>
      </c>
      <c r="Q17" s="39"/>
      <c r="R17" s="39">
        <f>ROUND((Summary!O17-0.001)*Summary!J$16,2)</f>
        <v>154.24</v>
      </c>
      <c r="S17" s="39">
        <f>ROUND((Summary!P17-0.001)*Summary!K$16,2)</f>
        <v>0</v>
      </c>
      <c r="T17" s="42"/>
      <c r="U17" s="43">
        <f t="shared" ref="U17:U27" si="7">SUM(R17:S17)</f>
        <v>154.24</v>
      </c>
      <c r="V17" s="26"/>
      <c r="W17" s="40">
        <f t="shared" si="2"/>
        <v>758</v>
      </c>
      <c r="X17" s="44">
        <f t="shared" si="2"/>
        <v>0.13800000000000001</v>
      </c>
      <c r="Y17" s="39"/>
      <c r="Z17" s="39">
        <f t="shared" ref="Z17:Z27" si="8">MIN(E17,W17)</f>
        <v>758</v>
      </c>
      <c r="AA17" s="39">
        <f t="shared" ref="AA17:AA27" si="9">E17-Z17</f>
        <v>1575.3333333333335</v>
      </c>
      <c r="AB17" s="42"/>
      <c r="AC17" s="45">
        <f t="shared" ref="AC17:AC27" si="10">ROUND((AA17-0.001)*X17,2)</f>
        <v>217.4</v>
      </c>
      <c r="AD17" s="26"/>
      <c r="AE17" s="45">
        <f t="shared" ref="AE17:AE27" si="11">AC17+U17</f>
        <v>371.64</v>
      </c>
      <c r="AF17" s="26"/>
    </row>
    <row r="18" spans="2:32">
      <c r="B18" s="22"/>
      <c r="C18" s="26" t="s">
        <v>16</v>
      </c>
      <c r="D18" s="38" t="str">
        <f t="shared" si="5"/>
        <v>A</v>
      </c>
      <c r="E18" s="39">
        <f t="shared" si="6"/>
        <v>2333.3333333333335</v>
      </c>
      <c r="F18" s="26"/>
      <c r="G18" s="40">
        <f t="shared" si="0"/>
        <v>533</v>
      </c>
      <c r="H18" s="40">
        <f t="shared" si="0"/>
        <v>1048</v>
      </c>
      <c r="I18" s="40">
        <f t="shared" si="0"/>
        <v>4189</v>
      </c>
      <c r="J18" s="41">
        <f>INDEX(Rates!$D:$D,MATCH($D$16,Rates!$B:$B,0))</f>
        <v>0.12000000000000001</v>
      </c>
      <c r="K18" s="41">
        <f>INDEX(Rates!$E:$E,MATCH($D$16,Rates!$B:$B,0))</f>
        <v>0.02</v>
      </c>
      <c r="L18" s="39"/>
      <c r="M18" s="39">
        <f>MIN(E18,Summary!G18)</f>
        <v>533</v>
      </c>
      <c r="N18" s="39">
        <f>MIN(E18,Summary!H18)-M18</f>
        <v>515</v>
      </c>
      <c r="O18" s="39">
        <f>MIN(E18,Summary!I18)-SUM(M18:N18)</f>
        <v>1285.3333333333335</v>
      </c>
      <c r="P18" s="39">
        <f t="shared" si="1"/>
        <v>0</v>
      </c>
      <c r="Q18" s="39"/>
      <c r="R18" s="39">
        <f>ROUND((Summary!O18-0.001)*Summary!J$16,2)</f>
        <v>154.24</v>
      </c>
      <c r="S18" s="39">
        <f>ROUND((Summary!P18-0.001)*Summary!K$16,2)</f>
        <v>0</v>
      </c>
      <c r="T18" s="42"/>
      <c r="U18" s="43">
        <f t="shared" si="7"/>
        <v>154.24</v>
      </c>
      <c r="V18" s="26"/>
      <c r="W18" s="40">
        <f t="shared" si="2"/>
        <v>758</v>
      </c>
      <c r="X18" s="44">
        <f t="shared" si="2"/>
        <v>0.13800000000000001</v>
      </c>
      <c r="Y18" s="39"/>
      <c r="Z18" s="39">
        <f t="shared" si="8"/>
        <v>758</v>
      </c>
      <c r="AA18" s="39">
        <f t="shared" si="9"/>
        <v>1575.3333333333335</v>
      </c>
      <c r="AB18" s="42"/>
      <c r="AC18" s="45">
        <f t="shared" si="10"/>
        <v>217.4</v>
      </c>
      <c r="AD18" s="26"/>
      <c r="AE18" s="45">
        <f t="shared" si="11"/>
        <v>371.64</v>
      </c>
      <c r="AF18" s="26"/>
    </row>
    <row r="19" spans="2:32">
      <c r="B19" s="22"/>
      <c r="C19" s="26" t="s">
        <v>17</v>
      </c>
      <c r="D19" s="38" t="str">
        <f t="shared" si="5"/>
        <v>A</v>
      </c>
      <c r="E19" s="39">
        <f t="shared" si="6"/>
        <v>2333.3333333333335</v>
      </c>
      <c r="F19" s="26"/>
      <c r="G19" s="40">
        <f t="shared" si="0"/>
        <v>533</v>
      </c>
      <c r="H19" s="40">
        <f t="shared" si="0"/>
        <v>1048</v>
      </c>
      <c r="I19" s="40">
        <f t="shared" si="0"/>
        <v>4189</v>
      </c>
      <c r="J19" s="41">
        <f>INDEX(Rates!$D:$D,MATCH($D$16,Rates!$B:$B,0))</f>
        <v>0.12000000000000001</v>
      </c>
      <c r="K19" s="41">
        <f>INDEX(Rates!$E:$E,MATCH($D$16,Rates!$B:$B,0))</f>
        <v>0.02</v>
      </c>
      <c r="L19" s="39"/>
      <c r="M19" s="39">
        <f>MIN(E19,Summary!G19)</f>
        <v>533</v>
      </c>
      <c r="N19" s="39">
        <f>MIN(E19,Summary!H19)-M19</f>
        <v>515</v>
      </c>
      <c r="O19" s="39">
        <f>MIN(E19,Summary!I19)-SUM(M19:N19)</f>
        <v>1285.3333333333335</v>
      </c>
      <c r="P19" s="39">
        <f t="shared" si="1"/>
        <v>0</v>
      </c>
      <c r="Q19" s="39"/>
      <c r="R19" s="39">
        <f>ROUND((Summary!O19-0.001)*Summary!J$16,2)</f>
        <v>154.24</v>
      </c>
      <c r="S19" s="39">
        <f>ROUND((Summary!P19-0.001)*Summary!K$16,2)</f>
        <v>0</v>
      </c>
      <c r="T19" s="42"/>
      <c r="U19" s="43">
        <f t="shared" si="7"/>
        <v>154.24</v>
      </c>
      <c r="V19" s="26"/>
      <c r="W19" s="40">
        <f t="shared" si="2"/>
        <v>758</v>
      </c>
      <c r="X19" s="44">
        <f t="shared" si="2"/>
        <v>0.13800000000000001</v>
      </c>
      <c r="Y19" s="39"/>
      <c r="Z19" s="39">
        <f t="shared" si="8"/>
        <v>758</v>
      </c>
      <c r="AA19" s="39">
        <f t="shared" si="9"/>
        <v>1575.3333333333335</v>
      </c>
      <c r="AB19" s="42"/>
      <c r="AC19" s="45">
        <f t="shared" si="10"/>
        <v>217.4</v>
      </c>
      <c r="AD19" s="26"/>
      <c r="AE19" s="45">
        <f t="shared" si="11"/>
        <v>371.64</v>
      </c>
      <c r="AF19" s="26"/>
    </row>
    <row r="20" spans="2:32">
      <c r="B20" s="22"/>
      <c r="C20" s="26" t="s">
        <v>18</v>
      </c>
      <c r="D20" s="38" t="str">
        <f t="shared" si="5"/>
        <v>A</v>
      </c>
      <c r="E20" s="39">
        <f t="shared" si="6"/>
        <v>2333.3333333333335</v>
      </c>
      <c r="F20" s="26"/>
      <c r="G20" s="40">
        <f t="shared" si="0"/>
        <v>533</v>
      </c>
      <c r="H20" s="40">
        <f t="shared" si="0"/>
        <v>1048</v>
      </c>
      <c r="I20" s="40">
        <f t="shared" si="0"/>
        <v>4189</v>
      </c>
      <c r="J20" s="41">
        <f>INDEX(Rates!$D:$D,MATCH($D$16,Rates!$B:$B,0))</f>
        <v>0.12000000000000001</v>
      </c>
      <c r="K20" s="41">
        <f>INDEX(Rates!$E:$E,MATCH($D$16,Rates!$B:$B,0))</f>
        <v>0.02</v>
      </c>
      <c r="L20" s="39"/>
      <c r="M20" s="39">
        <f>MIN(E20,Summary!G20)</f>
        <v>533</v>
      </c>
      <c r="N20" s="39">
        <f>MIN(E20,Summary!H20)-M20</f>
        <v>515</v>
      </c>
      <c r="O20" s="39">
        <f>MIN(E20,Summary!I20)-SUM(M20:N20)</f>
        <v>1285.3333333333335</v>
      </c>
      <c r="P20" s="39">
        <f t="shared" si="1"/>
        <v>0</v>
      </c>
      <c r="Q20" s="39"/>
      <c r="R20" s="39">
        <f>ROUND((Summary!O20-0.001)*Summary!J$16,2)</f>
        <v>154.24</v>
      </c>
      <c r="S20" s="39">
        <f>ROUND((Summary!P20-0.001)*Summary!K$16,2)</f>
        <v>0</v>
      </c>
      <c r="T20" s="42"/>
      <c r="U20" s="43">
        <f t="shared" si="7"/>
        <v>154.24</v>
      </c>
      <c r="V20" s="26"/>
      <c r="W20" s="40">
        <f t="shared" si="2"/>
        <v>758</v>
      </c>
      <c r="X20" s="44">
        <f t="shared" si="2"/>
        <v>0.13800000000000001</v>
      </c>
      <c r="Y20" s="39"/>
      <c r="Z20" s="39">
        <f t="shared" si="8"/>
        <v>758</v>
      </c>
      <c r="AA20" s="39">
        <f t="shared" si="9"/>
        <v>1575.3333333333335</v>
      </c>
      <c r="AB20" s="42"/>
      <c r="AC20" s="45">
        <f t="shared" si="10"/>
        <v>217.4</v>
      </c>
      <c r="AD20" s="26"/>
      <c r="AE20" s="45">
        <f t="shared" si="11"/>
        <v>371.64</v>
      </c>
      <c r="AF20" s="26"/>
    </row>
    <row r="21" spans="2:32">
      <c r="B21" s="22"/>
      <c r="C21" s="26" t="s">
        <v>19</v>
      </c>
      <c r="D21" s="38" t="str">
        <f t="shared" si="5"/>
        <v>A</v>
      </c>
      <c r="E21" s="39">
        <f t="shared" si="6"/>
        <v>2333.3333333333335</v>
      </c>
      <c r="F21" s="26"/>
      <c r="G21" s="40">
        <f t="shared" si="0"/>
        <v>533</v>
      </c>
      <c r="H21" s="40">
        <f t="shared" si="0"/>
        <v>1048</v>
      </c>
      <c r="I21" s="40">
        <f t="shared" si="0"/>
        <v>4189</v>
      </c>
      <c r="J21" s="41">
        <f>INDEX(Rates!$D:$D,MATCH($D$16,Rates!$B:$B,0))</f>
        <v>0.12000000000000001</v>
      </c>
      <c r="K21" s="41">
        <f>INDEX(Rates!$E:$E,MATCH($D$16,Rates!$B:$B,0))</f>
        <v>0.02</v>
      </c>
      <c r="L21" s="39"/>
      <c r="M21" s="39">
        <f>MIN(E21,Summary!G21)</f>
        <v>533</v>
      </c>
      <c r="N21" s="39">
        <f>MIN(E21,Summary!H21)-M21</f>
        <v>515</v>
      </c>
      <c r="O21" s="39">
        <f>MIN(E21,Summary!I21)-SUM(M21:N21)</f>
        <v>1285.3333333333335</v>
      </c>
      <c r="P21" s="39">
        <f t="shared" si="1"/>
        <v>0</v>
      </c>
      <c r="Q21" s="39"/>
      <c r="R21" s="39">
        <f>ROUND((Summary!O21-0.001)*Summary!J$16,2)</f>
        <v>154.24</v>
      </c>
      <c r="S21" s="39">
        <f>ROUND((Summary!P21-0.001)*Summary!K$16,2)</f>
        <v>0</v>
      </c>
      <c r="T21" s="42"/>
      <c r="U21" s="43">
        <f t="shared" si="7"/>
        <v>154.24</v>
      </c>
      <c r="V21" s="26"/>
      <c r="W21" s="40">
        <f t="shared" si="2"/>
        <v>758</v>
      </c>
      <c r="X21" s="44">
        <f t="shared" si="2"/>
        <v>0.13800000000000001</v>
      </c>
      <c r="Y21" s="39"/>
      <c r="Z21" s="39">
        <f t="shared" si="8"/>
        <v>758</v>
      </c>
      <c r="AA21" s="39">
        <f t="shared" si="9"/>
        <v>1575.3333333333335</v>
      </c>
      <c r="AB21" s="42"/>
      <c r="AC21" s="45">
        <f t="shared" si="10"/>
        <v>217.4</v>
      </c>
      <c r="AD21" s="26"/>
      <c r="AE21" s="45">
        <f t="shared" si="11"/>
        <v>371.64</v>
      </c>
      <c r="AF21" s="26"/>
    </row>
    <row r="22" spans="2:32">
      <c r="B22" s="22"/>
      <c r="C22" s="26" t="s">
        <v>20</v>
      </c>
      <c r="D22" s="38" t="str">
        <f t="shared" si="5"/>
        <v>A</v>
      </c>
      <c r="E22" s="39">
        <f t="shared" si="6"/>
        <v>2333.3333333333335</v>
      </c>
      <c r="F22" s="26"/>
      <c r="G22" s="40">
        <f t="shared" si="0"/>
        <v>533</v>
      </c>
      <c r="H22" s="40">
        <f t="shared" si="0"/>
        <v>1048</v>
      </c>
      <c r="I22" s="40">
        <f t="shared" si="0"/>
        <v>4189</v>
      </c>
      <c r="J22" s="41">
        <f>INDEX(Rates!$D:$D,MATCH($D$16,Rates!$B:$B,0))</f>
        <v>0.12000000000000001</v>
      </c>
      <c r="K22" s="41">
        <f>INDEX(Rates!$E:$E,MATCH($D$16,Rates!$B:$B,0))</f>
        <v>0.02</v>
      </c>
      <c r="L22" s="39"/>
      <c r="M22" s="39">
        <f>MIN(E22,Summary!G22)</f>
        <v>533</v>
      </c>
      <c r="N22" s="39">
        <f>MIN(E22,Summary!H22)-M22</f>
        <v>515</v>
      </c>
      <c r="O22" s="39">
        <f>MIN(E22,Summary!I22)-SUM(M22:N22)</f>
        <v>1285.3333333333335</v>
      </c>
      <c r="P22" s="39">
        <f t="shared" si="1"/>
        <v>0</v>
      </c>
      <c r="Q22" s="39"/>
      <c r="R22" s="39">
        <f>ROUND((Summary!O22-0.001)*Summary!J$16,2)</f>
        <v>154.24</v>
      </c>
      <c r="S22" s="39">
        <f>ROUND((Summary!P22-0.001)*Summary!K$16,2)</f>
        <v>0</v>
      </c>
      <c r="T22" s="42"/>
      <c r="U22" s="43">
        <f t="shared" si="7"/>
        <v>154.24</v>
      </c>
      <c r="V22" s="26"/>
      <c r="W22" s="40">
        <f t="shared" si="2"/>
        <v>758</v>
      </c>
      <c r="X22" s="44">
        <f t="shared" si="2"/>
        <v>0.13800000000000001</v>
      </c>
      <c r="Y22" s="39"/>
      <c r="Z22" s="39">
        <f t="shared" si="8"/>
        <v>758</v>
      </c>
      <c r="AA22" s="39">
        <f t="shared" si="9"/>
        <v>1575.3333333333335</v>
      </c>
      <c r="AB22" s="42"/>
      <c r="AC22" s="45">
        <f t="shared" si="10"/>
        <v>217.4</v>
      </c>
      <c r="AD22" s="26"/>
      <c r="AE22" s="45">
        <f t="shared" si="11"/>
        <v>371.64</v>
      </c>
      <c r="AF22" s="26"/>
    </row>
    <row r="23" spans="2:32">
      <c r="B23" s="22"/>
      <c r="C23" s="26" t="s">
        <v>21</v>
      </c>
      <c r="D23" s="38" t="str">
        <f t="shared" si="5"/>
        <v>A</v>
      </c>
      <c r="E23" s="39">
        <f t="shared" si="6"/>
        <v>2333.3333333333335</v>
      </c>
      <c r="F23" s="26"/>
      <c r="G23" s="40">
        <f t="shared" si="0"/>
        <v>533</v>
      </c>
      <c r="H23" s="40">
        <f t="shared" si="0"/>
        <v>1048</v>
      </c>
      <c r="I23" s="40">
        <f t="shared" si="0"/>
        <v>4189</v>
      </c>
      <c r="J23" s="41">
        <f>INDEX(Rates!$D:$D,MATCH($D$16,Rates!$B:$B,0))</f>
        <v>0.12000000000000001</v>
      </c>
      <c r="K23" s="41">
        <f>INDEX(Rates!$E:$E,MATCH($D$16,Rates!$B:$B,0))</f>
        <v>0.02</v>
      </c>
      <c r="L23" s="39"/>
      <c r="M23" s="39">
        <f>MIN(E23,Summary!G23)</f>
        <v>533</v>
      </c>
      <c r="N23" s="39">
        <f>MIN(E23,Summary!H23)-M23</f>
        <v>515</v>
      </c>
      <c r="O23" s="39">
        <f>MIN(E23,Summary!I23)-SUM(M23:N23)</f>
        <v>1285.3333333333335</v>
      </c>
      <c r="P23" s="39">
        <f t="shared" si="1"/>
        <v>0</v>
      </c>
      <c r="Q23" s="39"/>
      <c r="R23" s="39">
        <f>ROUND((Summary!O23-0.001)*Summary!J$16,2)</f>
        <v>154.24</v>
      </c>
      <c r="S23" s="39">
        <f>ROUND((Summary!P23-0.001)*Summary!K$16,2)</f>
        <v>0</v>
      </c>
      <c r="T23" s="42"/>
      <c r="U23" s="43">
        <f t="shared" si="7"/>
        <v>154.24</v>
      </c>
      <c r="V23" s="26"/>
      <c r="W23" s="40">
        <f t="shared" si="2"/>
        <v>758</v>
      </c>
      <c r="X23" s="44">
        <f t="shared" si="2"/>
        <v>0.13800000000000001</v>
      </c>
      <c r="Y23" s="39"/>
      <c r="Z23" s="39">
        <f t="shared" si="8"/>
        <v>758</v>
      </c>
      <c r="AA23" s="39">
        <f t="shared" si="9"/>
        <v>1575.3333333333335</v>
      </c>
      <c r="AB23" s="42"/>
      <c r="AC23" s="45">
        <f t="shared" si="10"/>
        <v>217.4</v>
      </c>
      <c r="AD23" s="26"/>
      <c r="AE23" s="45">
        <f t="shared" si="11"/>
        <v>371.64</v>
      </c>
      <c r="AF23" s="26"/>
    </row>
    <row r="24" spans="2:32">
      <c r="B24" s="22"/>
      <c r="C24" s="26" t="s">
        <v>22</v>
      </c>
      <c r="D24" s="38" t="str">
        <f t="shared" si="5"/>
        <v>A</v>
      </c>
      <c r="E24" s="39">
        <f t="shared" si="6"/>
        <v>2333.3333333333335</v>
      </c>
      <c r="F24" s="26"/>
      <c r="G24" s="40">
        <f t="shared" si="0"/>
        <v>533</v>
      </c>
      <c r="H24" s="40">
        <f t="shared" si="0"/>
        <v>1048</v>
      </c>
      <c r="I24" s="40">
        <f t="shared" si="0"/>
        <v>4189</v>
      </c>
      <c r="J24" s="41">
        <f>INDEX(Rates!$D:$D,MATCH($D$16,Rates!$B:$B,0))</f>
        <v>0.12000000000000001</v>
      </c>
      <c r="K24" s="41">
        <f>INDEX(Rates!$E:$E,MATCH($D$16,Rates!$B:$B,0))</f>
        <v>0.02</v>
      </c>
      <c r="L24" s="39"/>
      <c r="M24" s="39">
        <f>MIN(E24,Summary!G24)</f>
        <v>533</v>
      </c>
      <c r="N24" s="39">
        <f>MIN(E24,Summary!H24)-M24</f>
        <v>515</v>
      </c>
      <c r="O24" s="39">
        <f>MIN(E24,Summary!I24)-SUM(M24:N24)</f>
        <v>1285.3333333333335</v>
      </c>
      <c r="P24" s="39">
        <f t="shared" si="1"/>
        <v>0</v>
      </c>
      <c r="Q24" s="39"/>
      <c r="R24" s="39">
        <f>ROUND((Summary!O24-0.001)*Summary!J$16,2)</f>
        <v>154.24</v>
      </c>
      <c r="S24" s="39">
        <f>ROUND((Summary!P24-0.001)*Summary!K$16,2)</f>
        <v>0</v>
      </c>
      <c r="T24" s="42"/>
      <c r="U24" s="43">
        <f t="shared" si="7"/>
        <v>154.24</v>
      </c>
      <c r="V24" s="26"/>
      <c r="W24" s="40">
        <f t="shared" si="2"/>
        <v>758</v>
      </c>
      <c r="X24" s="44">
        <f t="shared" si="2"/>
        <v>0.13800000000000001</v>
      </c>
      <c r="Y24" s="39"/>
      <c r="Z24" s="39">
        <f t="shared" si="8"/>
        <v>758</v>
      </c>
      <c r="AA24" s="39">
        <f t="shared" si="9"/>
        <v>1575.3333333333335</v>
      </c>
      <c r="AB24" s="42"/>
      <c r="AC24" s="45">
        <f t="shared" si="10"/>
        <v>217.4</v>
      </c>
      <c r="AD24" s="26"/>
      <c r="AE24" s="45">
        <f t="shared" si="11"/>
        <v>371.64</v>
      </c>
      <c r="AF24" s="26"/>
    </row>
    <row r="25" spans="2:32">
      <c r="B25" s="22"/>
      <c r="C25" s="26" t="s">
        <v>23</v>
      </c>
      <c r="D25" s="38" t="str">
        <f t="shared" si="5"/>
        <v>A</v>
      </c>
      <c r="E25" s="39">
        <f t="shared" si="6"/>
        <v>2333.3333333333335</v>
      </c>
      <c r="F25" s="26"/>
      <c r="G25" s="40">
        <f t="shared" si="0"/>
        <v>533</v>
      </c>
      <c r="H25" s="40">
        <f t="shared" si="0"/>
        <v>1048</v>
      </c>
      <c r="I25" s="40">
        <f t="shared" si="0"/>
        <v>4189</v>
      </c>
      <c r="J25" s="41">
        <f>INDEX(Rates!$D:$D,MATCH($D$16,Rates!$B:$B,0))</f>
        <v>0.12000000000000001</v>
      </c>
      <c r="K25" s="41">
        <f>INDEX(Rates!$E:$E,MATCH($D$16,Rates!$B:$B,0))</f>
        <v>0.02</v>
      </c>
      <c r="L25" s="39"/>
      <c r="M25" s="39">
        <f>MIN(E25,Summary!G25)</f>
        <v>533</v>
      </c>
      <c r="N25" s="39">
        <f>MIN(E25,Summary!H25)-M25</f>
        <v>515</v>
      </c>
      <c r="O25" s="39">
        <f>MIN(E25,Summary!I25)-SUM(M25:N25)</f>
        <v>1285.3333333333335</v>
      </c>
      <c r="P25" s="39">
        <f t="shared" si="1"/>
        <v>0</v>
      </c>
      <c r="Q25" s="39"/>
      <c r="R25" s="39">
        <f>ROUND((Summary!O25-0.001)*Summary!J$16,2)</f>
        <v>154.24</v>
      </c>
      <c r="S25" s="39">
        <f>ROUND((Summary!P25-0.001)*Summary!K$16,2)</f>
        <v>0</v>
      </c>
      <c r="T25" s="42"/>
      <c r="U25" s="43">
        <f t="shared" si="7"/>
        <v>154.24</v>
      </c>
      <c r="V25" s="26"/>
      <c r="W25" s="40">
        <f t="shared" si="2"/>
        <v>758</v>
      </c>
      <c r="X25" s="44">
        <f t="shared" si="2"/>
        <v>0.13800000000000001</v>
      </c>
      <c r="Y25" s="39"/>
      <c r="Z25" s="39">
        <f t="shared" si="8"/>
        <v>758</v>
      </c>
      <c r="AA25" s="39">
        <f t="shared" si="9"/>
        <v>1575.3333333333335</v>
      </c>
      <c r="AB25" s="42"/>
      <c r="AC25" s="45">
        <f t="shared" si="10"/>
        <v>217.4</v>
      </c>
      <c r="AD25" s="26"/>
      <c r="AE25" s="45">
        <f t="shared" si="11"/>
        <v>371.64</v>
      </c>
      <c r="AF25" s="26"/>
    </row>
    <row r="26" spans="2:32">
      <c r="B26" s="22"/>
      <c r="C26" s="26" t="s">
        <v>24</v>
      </c>
      <c r="D26" s="38" t="str">
        <f t="shared" si="5"/>
        <v>A</v>
      </c>
      <c r="E26" s="39">
        <f t="shared" si="6"/>
        <v>2333.3333333333335</v>
      </c>
      <c r="F26" s="26"/>
      <c r="G26" s="40">
        <f t="shared" si="0"/>
        <v>533</v>
      </c>
      <c r="H26" s="40">
        <f t="shared" si="0"/>
        <v>1048</v>
      </c>
      <c r="I26" s="40">
        <f t="shared" si="0"/>
        <v>4189</v>
      </c>
      <c r="J26" s="41">
        <f>INDEX(Rates!$D:$D,MATCH($D$16,Rates!$B:$B,0))</f>
        <v>0.12000000000000001</v>
      </c>
      <c r="K26" s="41">
        <f>INDEX(Rates!$E:$E,MATCH($D$16,Rates!$B:$B,0))</f>
        <v>0.02</v>
      </c>
      <c r="L26" s="39"/>
      <c r="M26" s="39">
        <f>MIN(E26,Summary!G26)</f>
        <v>533</v>
      </c>
      <c r="N26" s="39">
        <f>MIN(E26,Summary!H26)-M26</f>
        <v>515</v>
      </c>
      <c r="O26" s="39">
        <f>MIN(E26,Summary!I26)-SUM(M26:N26)</f>
        <v>1285.3333333333335</v>
      </c>
      <c r="P26" s="39">
        <f t="shared" si="1"/>
        <v>0</v>
      </c>
      <c r="Q26" s="39"/>
      <c r="R26" s="39">
        <f>ROUND((Summary!O26-0.001)*Summary!J$16,2)</f>
        <v>154.24</v>
      </c>
      <c r="S26" s="39">
        <f>ROUND((Summary!P26-0.001)*Summary!K$16,2)</f>
        <v>0</v>
      </c>
      <c r="T26" s="42"/>
      <c r="U26" s="43">
        <f t="shared" si="7"/>
        <v>154.24</v>
      </c>
      <c r="V26" s="26"/>
      <c r="W26" s="40">
        <f t="shared" si="2"/>
        <v>758</v>
      </c>
      <c r="X26" s="44">
        <f t="shared" si="2"/>
        <v>0.13800000000000001</v>
      </c>
      <c r="Y26" s="39"/>
      <c r="Z26" s="39">
        <f t="shared" si="8"/>
        <v>758</v>
      </c>
      <c r="AA26" s="39">
        <f t="shared" si="9"/>
        <v>1575.3333333333335</v>
      </c>
      <c r="AB26" s="42"/>
      <c r="AC26" s="45">
        <f t="shared" si="10"/>
        <v>217.4</v>
      </c>
      <c r="AD26" s="26"/>
      <c r="AE26" s="45">
        <f t="shared" si="11"/>
        <v>371.64</v>
      </c>
      <c r="AF26" s="26"/>
    </row>
    <row r="27" spans="2:32">
      <c r="B27" s="22"/>
      <c r="C27" s="26" t="s">
        <v>25</v>
      </c>
      <c r="D27" s="38" t="str">
        <f t="shared" si="5"/>
        <v>A</v>
      </c>
      <c r="E27" s="39">
        <f t="shared" si="6"/>
        <v>2333.3333333333335</v>
      </c>
      <c r="F27" s="26"/>
      <c r="G27" s="40">
        <f t="shared" si="0"/>
        <v>533</v>
      </c>
      <c r="H27" s="40">
        <f t="shared" si="0"/>
        <v>1048</v>
      </c>
      <c r="I27" s="40">
        <f t="shared" si="0"/>
        <v>4189</v>
      </c>
      <c r="J27" s="41">
        <f>INDEX(Rates!$D:$D,MATCH($D$16,Rates!$B:$B,0))</f>
        <v>0.12000000000000001</v>
      </c>
      <c r="K27" s="41">
        <f>INDEX(Rates!$E:$E,MATCH($D$16,Rates!$B:$B,0))</f>
        <v>0.02</v>
      </c>
      <c r="L27" s="39"/>
      <c r="M27" s="39">
        <f>MIN(E27,Summary!G27)</f>
        <v>533</v>
      </c>
      <c r="N27" s="39">
        <f>MIN(E27,Summary!H27)-M27</f>
        <v>515</v>
      </c>
      <c r="O27" s="39">
        <f>MIN(E27,Summary!I27)-SUM(M27:N27)</f>
        <v>1285.3333333333335</v>
      </c>
      <c r="P27" s="39">
        <f t="shared" si="1"/>
        <v>0</v>
      </c>
      <c r="Q27" s="39"/>
      <c r="R27" s="39">
        <f>ROUND((Summary!O27-0.001)*Summary!J$16,2)</f>
        <v>154.24</v>
      </c>
      <c r="S27" s="39">
        <f>ROUND((Summary!P27-0.001)*Summary!K$16,2)</f>
        <v>0</v>
      </c>
      <c r="T27" s="42"/>
      <c r="U27" s="43">
        <f t="shared" si="7"/>
        <v>154.24</v>
      </c>
      <c r="V27" s="26"/>
      <c r="W27" s="40">
        <f t="shared" si="2"/>
        <v>758</v>
      </c>
      <c r="X27" s="44">
        <f t="shared" si="2"/>
        <v>0.13800000000000001</v>
      </c>
      <c r="Y27" s="39"/>
      <c r="Z27" s="39">
        <f t="shared" si="8"/>
        <v>758</v>
      </c>
      <c r="AA27" s="39">
        <f t="shared" si="9"/>
        <v>1575.3333333333335</v>
      </c>
      <c r="AB27" s="42"/>
      <c r="AC27" s="45">
        <f t="shared" si="10"/>
        <v>217.4</v>
      </c>
      <c r="AD27" s="26"/>
      <c r="AE27" s="45">
        <f t="shared" si="11"/>
        <v>371.64</v>
      </c>
      <c r="AF27" s="26"/>
    </row>
    <row r="28" spans="2:32">
      <c r="B28" s="22"/>
      <c r="C28" s="46" t="s">
        <v>2</v>
      </c>
      <c r="D28" s="47"/>
      <c r="E28" s="48">
        <f>SUM(E16:E27)</f>
        <v>27999.999999999996</v>
      </c>
      <c r="F28" s="26"/>
      <c r="G28" s="48">
        <f t="shared" ref="G28:I28" si="12">SUM(G16:G27)</f>
        <v>6396</v>
      </c>
      <c r="H28" s="48">
        <f t="shared" si="12"/>
        <v>12576</v>
      </c>
      <c r="I28" s="48">
        <f t="shared" si="12"/>
        <v>50268</v>
      </c>
      <c r="J28" s="48"/>
      <c r="K28" s="48"/>
      <c r="L28" s="48"/>
      <c r="M28" s="48">
        <f t="shared" ref="M28:P28" si="13">SUM(M16:M27)</f>
        <v>6396</v>
      </c>
      <c r="N28" s="48">
        <f t="shared" si="13"/>
        <v>6180</v>
      </c>
      <c r="O28" s="48">
        <f t="shared" si="13"/>
        <v>15424.000000000005</v>
      </c>
      <c r="P28" s="48">
        <f t="shared" si="13"/>
        <v>0</v>
      </c>
      <c r="Q28" s="48"/>
      <c r="R28" s="48">
        <f>SUM(R16:R27)</f>
        <v>1850.88</v>
      </c>
      <c r="S28" s="48">
        <f>SUM(S16:S27)</f>
        <v>0</v>
      </c>
      <c r="T28" s="49"/>
      <c r="U28" s="50">
        <f>SUM(U16:U27)</f>
        <v>1850.88</v>
      </c>
      <c r="V28" s="26"/>
      <c r="W28" s="48"/>
      <c r="X28" s="48"/>
      <c r="Y28" s="48"/>
      <c r="Z28" s="48">
        <f>SUM(Z16:Z27)</f>
        <v>9096</v>
      </c>
      <c r="AA28" s="48">
        <f>SUM(AA16:AA27)</f>
        <v>18904.000000000004</v>
      </c>
      <c r="AB28" s="49"/>
      <c r="AC28" s="50">
        <f>SUM(AC16:AC27)</f>
        <v>2608.8000000000006</v>
      </c>
      <c r="AD28" s="26"/>
      <c r="AE28" s="50">
        <f>SUM(AE16:AE27)</f>
        <v>4459.6799999999994</v>
      </c>
      <c r="AF28" s="26"/>
    </row>
    <row r="29" spans="2:32" s="51" customFormat="1">
      <c r="B29" s="52"/>
      <c r="C29" s="53"/>
      <c r="D29" s="54"/>
      <c r="E29" s="55"/>
      <c r="F29" s="56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26"/>
      <c r="T29" s="26"/>
      <c r="U29" s="26"/>
      <c r="V29" s="56"/>
      <c r="W29" s="26"/>
      <c r="X29" s="26"/>
      <c r="Y29" s="40"/>
      <c r="Z29" s="26"/>
      <c r="AA29" s="26"/>
      <c r="AB29" s="26"/>
      <c r="AC29" s="26"/>
      <c r="AD29" s="56"/>
      <c r="AE29" s="27"/>
      <c r="AF29" s="56"/>
    </row>
    <row r="30" spans="2:32">
      <c r="B30" s="22"/>
      <c r="C30" s="26"/>
      <c r="D30" s="27"/>
      <c r="E30" s="27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7"/>
      <c r="AF30" s="26"/>
    </row>
    <row r="31" spans="2:32">
      <c r="B31" s="65"/>
      <c r="C31" s="65"/>
      <c r="D31" s="66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</row>
    <row r="32" spans="2:32">
      <c r="B32" s="65"/>
      <c r="C32" s="65"/>
      <c r="D32" s="66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</row>
    <row r="33" spans="2:32">
      <c r="B33" s="65"/>
      <c r="C33" s="65"/>
      <c r="D33" s="66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2:32">
      <c r="B34" s="65"/>
      <c r="C34" s="67"/>
      <c r="D34" s="66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Rates</vt:lpstr>
      <vt:lpstr>Summary</vt:lpstr>
      <vt:lpstr>categories</vt:lpstr>
      <vt:lpstr>Rates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TDS Savings Calculator</dc:title>
  <dc:creator>Mark Wilding</dc:creator>
  <cp:lastModifiedBy>Mark Wilding</cp:lastModifiedBy>
  <dcterms:created xsi:type="dcterms:W3CDTF">2022-08-14T15:15:47Z</dcterms:created>
  <dcterms:modified xsi:type="dcterms:W3CDTF">2024-03-05T12:17:55Z</dcterms:modified>
</cp:coreProperties>
</file>